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rod pays 2011"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624" i="1"/>
  <c r="B1624"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A1049" i="1"/>
  <c r="B1049" i="1"/>
  <c r="A1050" i="1"/>
  <c r="B1050" i="1"/>
  <c r="A1051" i="1"/>
  <c r="A1052" i="1"/>
  <c r="B1052" i="1"/>
  <c r="A1053" i="1"/>
  <c r="B1053" i="1"/>
  <c r="A1054" i="1"/>
  <c r="B1054" i="1"/>
  <c r="A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A1299" i="1"/>
  <c r="B1299" i="1"/>
  <c r="A1300" i="1"/>
  <c r="B1300" i="1"/>
  <c r="A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A1365" i="1"/>
  <c r="B1365" i="1"/>
  <c r="A1366" i="1"/>
  <c r="B1366" i="1"/>
  <c r="A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A1406" i="1"/>
  <c r="B1406" i="1"/>
  <c r="A1407" i="1"/>
  <c r="B1407" i="1"/>
  <c r="A1408" i="1"/>
  <c r="B1408" i="1"/>
  <c r="A1409" i="1"/>
  <c r="B1409" i="1"/>
  <c r="A1410" i="1"/>
  <c r="A1411" i="1"/>
  <c r="B1411" i="1"/>
  <c r="A1412" i="1"/>
  <c r="B1412" i="1"/>
  <c r="A1413" i="1"/>
  <c r="A1414" i="1"/>
  <c r="B1414" i="1"/>
  <c r="A1415" i="1"/>
  <c r="B1415" i="1"/>
  <c r="A1416" i="1"/>
  <c r="B1416" i="1"/>
  <c r="A1417" i="1"/>
  <c r="B1417" i="1"/>
  <c r="A1418" i="1"/>
  <c r="B1418" i="1"/>
  <c r="A1419" i="1"/>
  <c r="B1419" i="1"/>
  <c r="A1420" i="1"/>
  <c r="B1420" i="1"/>
  <c r="A1421" i="1"/>
  <c r="B1421" i="1"/>
  <c r="A1422" i="1"/>
  <c r="A1423" i="1"/>
  <c r="B1423" i="1"/>
  <c r="A1424" i="1"/>
  <c r="B1424" i="1"/>
  <c r="A1425" i="1"/>
  <c r="B1425" i="1"/>
  <c r="A1426" i="1"/>
  <c r="B1426" i="1"/>
  <c r="A1427" i="1"/>
  <c r="B1427" i="1"/>
  <c r="A1428" i="1"/>
  <c r="B1428" i="1"/>
  <c r="A1429" i="1"/>
  <c r="B1429" i="1"/>
  <c r="A1430" i="1"/>
  <c r="B1430" i="1"/>
  <c r="A1431" i="1"/>
  <c r="A1432" i="1"/>
  <c r="B1432" i="1"/>
  <c r="A1433" i="1"/>
  <c r="B1433" i="1"/>
  <c r="A1434" i="1"/>
  <c r="B1434" i="1"/>
  <c r="A1435" i="1"/>
  <c r="B1435" i="1"/>
  <c r="A1436" i="1"/>
  <c r="B1436" i="1"/>
  <c r="A1437" i="1"/>
  <c r="B1437" i="1"/>
  <c r="A1438" i="1"/>
  <c r="A1439" i="1"/>
  <c r="B1439" i="1"/>
  <c r="A1440" i="1"/>
  <c r="B1440" i="1"/>
  <c r="A1441" i="1"/>
  <c r="B1441" i="1"/>
  <c r="A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alcChain>
</file>

<file path=xl/sharedStrings.xml><?xml version="1.0" encoding="utf-8"?>
<sst xmlns="http://schemas.openxmlformats.org/spreadsheetml/2006/main" count="33" uniqueCount="33">
  <si>
    <t>Produced:</t>
  </si>
  <si>
    <t>Mois(C):</t>
  </si>
  <si>
    <t>Annee(C):</t>
  </si>
  <si>
    <t>BUREAU(C):</t>
  </si>
  <si>
    <t>SYSCOM(C):</t>
  </si>
  <si>
    <t>FLUX(C):</t>
  </si>
  <si>
    <t>PROVDEST(C):</t>
  </si>
  <si>
    <t>PRODUIT(B):</t>
  </si>
  <si>
    <t>Y Axis (1)</t>
  </si>
  <si>
    <t>PARTENAIRE(B):</t>
  </si>
  <si>
    <t>Y Axis (2)</t>
  </si>
  <si>
    <t>INDICATORS(B):</t>
  </si>
  <si>
    <t>X Axis (1)</t>
  </si>
  <si>
    <t xml:space="preserve">=t("BOIS, Y.C. LES LAMES ET FRISES POUR PARQUETS, NON-ASSEMBLÉES, PROFILÉS "LANGUETÉS, RAINÉS, BOUVETÉS, FEUILLURÉS, CHANFREINÉS, JOINTS EN V, MOULURÉS, ARRONDIS OU SIMIL." TOUT AU LONG D'UNE OU DE PLUSIEURS RIVES, FACES OU BOUTS, MÊME RABOTÉS, PONCÉS OU </t>
  </si>
  <si>
    <t>=t("MOTEURS À PISTON ALTERNATIF À ALLUMAGE PAR ÉTINCELLES "MOTEURS À EXPLOSION", DES TYPES UTILISÉS POUR LA PROPULSION DES VÉHICULES DU CHAPITRE 87, CYLINDRÉE &gt; 1000 CM³"")</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</si>
  <si>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</si>
  <si>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</si>
  <si>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</si>
  <si>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</si>
  <si>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</si>
  <si>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</si>
  <si>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=t("VÉHICULES POUR LE TRANSPORT DE &gt;= 10 PERSONNES, CHAUFFEUR INCLUS, AUTRES QU'À MOTEUR À PISTON À ALLUMAGE PAR COMPRESSION "MOTEUR DIESEL OU SEMI-DIESEL"")</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</si>
  <si>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</si>
  <si>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</si>
  <si>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</si>
  <si>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</si>
  <si>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</si>
  <si>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</si>
  <si>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</si>
  <si>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</si>
  <si>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</si>
  <si>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Source: Copyright © 1958 - 2003 European Community, Eurostat. All Rights Reserved. Comext: k0000032.txt  Extracted: 07/10/2014</t>
  </si>
  <si>
    <t>Table generation of Extraction from Plan "k0000029,mtx"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</si>
</sst>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26"/>
  <sheetViews>
    <sheetView tabSelected="1" topLeftCell="A10" workbookViewId="0">
      <selection activeCell="C10" sqref="C1:D1048576"/>
    </sheetView>
  </sheetViews>
  <sheetFormatPr baseColWidth="10" defaultRowHeight="15" x14ac:dyDescent="0.25"/>
  <sheetData>
    <row r="1" spans="1:4" x14ac:dyDescent="0.25">
      <c r="C1" t="s">
        <v>32</v>
      </c>
    </row>
    <row r="3" spans="1:4" x14ac:dyDescent="0.25">
      <c r="A3" t="s">
        <v>0</v>
      </c>
      <c r="B3" t="str">
        <f>T("07/10/2014")</f>
        <v>07/10/2014</v>
      </c>
    </row>
    <row r="4" spans="1:4" x14ac:dyDescent="0.25">
      <c r="A4" t="s">
        <v>1</v>
      </c>
      <c r="B4" t="str">
        <f>T("00")</f>
        <v>00</v>
      </c>
    </row>
    <row r="5" spans="1:4" x14ac:dyDescent="0.25">
      <c r="A5" t="s">
        <v>2</v>
      </c>
      <c r="B5" t="str">
        <f>T("2011")</f>
        <v>2011</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T("030223")</f>
        <v>030223</v>
      </c>
      <c r="B16" t="str">
        <f>T("Soles [Solea spp.], fraîches ou réfrigérées")</f>
        <v>Soles [Solea spp.], fraîches ou réfrigérées</v>
      </c>
    </row>
    <row r="17" spans="1:4" x14ac:dyDescent="0.25">
      <c r="A17" t="str">
        <f>T("   ZZZ_Monde")</f>
        <v xml:space="preserve">   ZZZ_Monde</v>
      </c>
      <c r="B17" t="str">
        <f>T("   ZZZ_Monde")</f>
        <v xml:space="preserve">   ZZZ_Monde</v>
      </c>
      <c r="C17">
        <v>1110000</v>
      </c>
      <c r="D17">
        <v>740</v>
      </c>
    </row>
    <row r="18" spans="1:4" x14ac:dyDescent="0.25">
      <c r="A18" t="str">
        <f>T("   CN")</f>
        <v xml:space="preserve">   CN</v>
      </c>
      <c r="B18" t="str">
        <f>T("   Chine")</f>
        <v xml:space="preserve">   Chine</v>
      </c>
      <c r="C18">
        <v>1110000</v>
      </c>
      <c r="D18">
        <v>740</v>
      </c>
    </row>
    <row r="19" spans="1:4" x14ac:dyDescent="0.25">
      <c r="A19" t="str">
        <f>T("030379")</f>
        <v>030379</v>
      </c>
      <c r="B19"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0" spans="1:4" x14ac:dyDescent="0.25">
      <c r="A20" t="str">
        <f>T("   ZZZ_Monde")</f>
        <v xml:space="preserve">   ZZZ_Monde</v>
      </c>
      <c r="B20" t="str">
        <f>T("   ZZZ_Monde")</f>
        <v xml:space="preserve">   ZZZ_Monde</v>
      </c>
      <c r="C20">
        <v>532446000</v>
      </c>
      <c r="D20">
        <v>1052801</v>
      </c>
    </row>
    <row r="21" spans="1:4" x14ac:dyDescent="0.25">
      <c r="A21" t="str">
        <f>T("   GH")</f>
        <v xml:space="preserve">   GH</v>
      </c>
      <c r="B21" t="str">
        <f>T("   Ghana")</f>
        <v xml:space="preserve">   Ghana</v>
      </c>
      <c r="C21">
        <v>123870000</v>
      </c>
      <c r="D21">
        <v>279200</v>
      </c>
    </row>
    <row r="22" spans="1:4" x14ac:dyDescent="0.25">
      <c r="A22" t="str">
        <f>T("   TG")</f>
        <v xml:space="preserve">   TG</v>
      </c>
      <c r="B22" t="str">
        <f>T("   Togo")</f>
        <v xml:space="preserve">   Togo</v>
      </c>
      <c r="C22">
        <v>408576000</v>
      </c>
      <c r="D22">
        <v>773601</v>
      </c>
    </row>
    <row r="23" spans="1:4" x14ac:dyDescent="0.25">
      <c r="A23" t="str">
        <f>T("030621")</f>
        <v>030621</v>
      </c>
      <c r="B23" t="str">
        <f>T("Langoustes [Palinurus spp., Panulirus spp., Jasus spp.], même décortiquées, vivantes, fraîches, réfrigérées, séchées, salées ou en saumure, y.c. les langoustes non décortiquées préalablement cuites à l'eau ou à la vapeur")</f>
        <v>Langoustes [Palinurus spp., Panulirus spp., Jasus spp.], même décortiquées, vivantes, fraîches, réfrigérées, séchées, salées ou en saumure, y.c. les langoustes non décortiquées préalablement cuites à l'eau ou à la vapeur</v>
      </c>
    </row>
    <row r="24" spans="1:4" x14ac:dyDescent="0.25">
      <c r="A24" t="str">
        <f>T("   ZZZ_Monde")</f>
        <v xml:space="preserve">   ZZZ_Monde</v>
      </c>
      <c r="B24" t="str">
        <f>T("   ZZZ_Monde")</f>
        <v xml:space="preserve">   ZZZ_Monde</v>
      </c>
      <c r="C24">
        <v>3965000</v>
      </c>
      <c r="D24">
        <v>1810</v>
      </c>
    </row>
    <row r="25" spans="1:4" x14ac:dyDescent="0.25">
      <c r="A25" t="str">
        <f>T("   CN")</f>
        <v xml:space="preserve">   CN</v>
      </c>
      <c r="B25" t="str">
        <f>T("   Chine")</f>
        <v xml:space="preserve">   Chine</v>
      </c>
      <c r="C25">
        <v>3965000</v>
      </c>
      <c r="D25">
        <v>1810</v>
      </c>
    </row>
    <row r="26" spans="1:4" x14ac:dyDescent="0.25">
      <c r="A26" t="str">
        <f>T("030623")</f>
        <v>030623</v>
      </c>
      <c r="B26" t="str">
        <f>T("CREVETTES, MÊME DÉCORTIQUÉES, VIVANTES, FRAÎCHES, RÉFRIGÉRÉES, SÉCHÉES, SALÉES OU EN SAUMURE, Y.C. LES CREVETTES NON-DÉCORTIQUÉES PRÉALABLEMENT CUITES À L'EAU OU À LA VAPEUR")</f>
        <v>CREVETTES, MÊME DÉCORTIQUÉES, VIVANTES, FRAÎCHES, RÉFRIGÉRÉES, SÉCHÉES, SALÉES OU EN SAUMURE, Y.C. LES CREVETTES NON-DÉCORTIQUÉES PRÉALABLEMENT CUITES À L'EAU OU À LA VAPEUR</v>
      </c>
    </row>
    <row r="27" spans="1:4" x14ac:dyDescent="0.25">
      <c r="A27" t="str">
        <f>T("   ZZZ_Monde")</f>
        <v xml:space="preserve">   ZZZ_Monde</v>
      </c>
      <c r="B27" t="str">
        <f>T("   ZZZ_Monde")</f>
        <v xml:space="preserve">   ZZZ_Monde</v>
      </c>
      <c r="C27">
        <v>57973000</v>
      </c>
      <c r="D27">
        <v>20358.5</v>
      </c>
    </row>
    <row r="28" spans="1:4" x14ac:dyDescent="0.25">
      <c r="A28" t="str">
        <f>T("   BE")</f>
        <v xml:space="preserve">   BE</v>
      </c>
      <c r="B28" t="str">
        <f>T("   Belgique")</f>
        <v xml:space="preserve">   Belgique</v>
      </c>
      <c r="C28">
        <v>1250000</v>
      </c>
      <c r="D28">
        <v>1000</v>
      </c>
    </row>
    <row r="29" spans="1:4" x14ac:dyDescent="0.25">
      <c r="A29" t="str">
        <f>T("   CN")</f>
        <v xml:space="preserve">   CN</v>
      </c>
      <c r="B29" t="str">
        <f>T("   Chine")</f>
        <v xml:space="preserve">   Chine</v>
      </c>
      <c r="C29">
        <v>56723000</v>
      </c>
      <c r="D29">
        <v>19358.5</v>
      </c>
    </row>
    <row r="30" spans="1:4" x14ac:dyDescent="0.25">
      <c r="A30" t="str">
        <f>T("030624")</f>
        <v>030624</v>
      </c>
      <c r="B30" t="str">
        <f>T("CRABES, MÊME DÉCORTIQUÉS, VIVANTS, FRAIS, RÉFRIGÉRÉS, SÉCHÉS, SALÉS OU EN SAUMURE, Y.C. LES CRABES NON-DÉCORTIQUÉS PRÉALABLEMENT CUITS À L'EAU OU À LA VAPEUR")</f>
        <v>CRABES, MÊME DÉCORTIQUÉS, VIVANTS, FRAIS, RÉFRIGÉRÉS, SÉCHÉS, SALÉS OU EN SAUMURE, Y.C. LES CRABES NON-DÉCORTIQUÉS PRÉALABLEMENT CUITS À L'EAU OU À LA VAPEUR</v>
      </c>
    </row>
    <row r="31" spans="1:4" x14ac:dyDescent="0.25">
      <c r="A31" t="str">
        <f>T("   ZZZ_Monde")</f>
        <v xml:space="preserve">   ZZZ_Monde</v>
      </c>
      <c r="B31" t="str">
        <f>T("   ZZZ_Monde")</f>
        <v xml:space="preserve">   ZZZ_Monde</v>
      </c>
      <c r="C31">
        <v>1072000</v>
      </c>
      <c r="D31">
        <v>2320</v>
      </c>
    </row>
    <row r="32" spans="1:4" x14ac:dyDescent="0.25">
      <c r="A32" t="str">
        <f>T("   CN")</f>
        <v xml:space="preserve">   CN</v>
      </c>
      <c r="B32" t="str">
        <f>T("   Chine")</f>
        <v xml:space="preserve">   Chine</v>
      </c>
      <c r="C32">
        <v>1072000</v>
      </c>
      <c r="D32">
        <v>2320</v>
      </c>
    </row>
    <row r="33" spans="1:4" x14ac:dyDescent="0.25">
      <c r="A33" t="str">
        <f>T("040510")</f>
        <v>040510</v>
      </c>
      <c r="B33" t="str">
        <f>T("Beurre (sauf beurre déshydraté et ghee)")</f>
        <v>Beurre (sauf beurre déshydraté et ghee)</v>
      </c>
    </row>
    <row r="34" spans="1:4" x14ac:dyDescent="0.25">
      <c r="A34" t="str">
        <f>T("   ZZZ_Monde")</f>
        <v xml:space="preserve">   ZZZ_Monde</v>
      </c>
      <c r="B34" t="str">
        <f>T("   ZZZ_Monde")</f>
        <v xml:space="preserve">   ZZZ_Monde</v>
      </c>
      <c r="C34">
        <v>1935480</v>
      </c>
      <c r="D34">
        <v>141</v>
      </c>
    </row>
    <row r="35" spans="1:4" x14ac:dyDescent="0.25">
      <c r="A35" t="str">
        <f>T("   FR")</f>
        <v xml:space="preserve">   FR</v>
      </c>
      <c r="B35" t="str">
        <f>T("   France")</f>
        <v xml:space="preserve">   France</v>
      </c>
      <c r="C35">
        <v>120000</v>
      </c>
      <c r="D35">
        <v>21</v>
      </c>
    </row>
    <row r="36" spans="1:4" x14ac:dyDescent="0.25">
      <c r="A36" t="str">
        <f>T("   IT")</f>
        <v xml:space="preserve">   IT</v>
      </c>
      <c r="B36" t="str">
        <f>T("   Italie")</f>
        <v xml:space="preserve">   Italie</v>
      </c>
      <c r="C36">
        <v>1815480</v>
      </c>
      <c r="D36">
        <v>120</v>
      </c>
    </row>
    <row r="37" spans="1:4" x14ac:dyDescent="0.25">
      <c r="A37" t="str">
        <f>T("060499")</f>
        <v>060499</v>
      </c>
      <c r="B37"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38" spans="1:4" x14ac:dyDescent="0.25">
      <c r="A38" t="str">
        <f>T("   ZZZ_Monde")</f>
        <v xml:space="preserve">   ZZZ_Monde</v>
      </c>
      <c r="B38" t="str">
        <f>T("   ZZZ_Monde")</f>
        <v xml:space="preserve">   ZZZ_Monde</v>
      </c>
      <c r="C38">
        <v>615000</v>
      </c>
      <c r="D38">
        <v>10000</v>
      </c>
    </row>
    <row r="39" spans="1:4" x14ac:dyDescent="0.25">
      <c r="A39" t="str">
        <f>T("   CG")</f>
        <v xml:space="preserve">   CG</v>
      </c>
      <c r="B39" t="str">
        <f>T("   Congo (Brazzaville)")</f>
        <v xml:space="preserve">   Congo (Brazzaville)</v>
      </c>
      <c r="C39">
        <v>615000</v>
      </c>
      <c r="D39">
        <v>10000</v>
      </c>
    </row>
    <row r="40" spans="1:4" x14ac:dyDescent="0.25">
      <c r="A40" t="str">
        <f>T("071332")</f>
        <v>071332</v>
      </c>
      <c r="B40" t="str">
        <f>T("Haricots 'petits rouges' [haricots Adzuki] 'Phaseolus ou Vigna angularis', secs, écossés, même décortiqués ou cassés")</f>
        <v>Haricots 'petits rouges' [haricots Adzuki] 'Phaseolus ou Vigna angularis', secs, écossés, même décortiqués ou cassés</v>
      </c>
    </row>
    <row r="41" spans="1:4" x14ac:dyDescent="0.25">
      <c r="A41" t="str">
        <f>T("   ZZZ_Monde")</f>
        <v xml:space="preserve">   ZZZ_Monde</v>
      </c>
      <c r="B41" t="str">
        <f>T("   ZZZ_Monde")</f>
        <v xml:space="preserve">   ZZZ_Monde</v>
      </c>
      <c r="C41">
        <v>1875000</v>
      </c>
      <c r="D41">
        <v>15000</v>
      </c>
    </row>
    <row r="42" spans="1:4" x14ac:dyDescent="0.25">
      <c r="A42" t="str">
        <f>T("   CG")</f>
        <v xml:space="preserve">   CG</v>
      </c>
      <c r="B42" t="str">
        <f>T("   Congo (Brazzaville)")</f>
        <v xml:space="preserve">   Congo (Brazzaville)</v>
      </c>
      <c r="C42">
        <v>1875000</v>
      </c>
      <c r="D42">
        <v>15000</v>
      </c>
    </row>
    <row r="43" spans="1:4" x14ac:dyDescent="0.25">
      <c r="A43" t="str">
        <f>T("071339")</f>
        <v>071339</v>
      </c>
      <c r="B43"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44" spans="1:4" x14ac:dyDescent="0.25">
      <c r="A44" t="str">
        <f>T("   ZZZ_Monde")</f>
        <v xml:space="preserve">   ZZZ_Monde</v>
      </c>
      <c r="B44" t="str">
        <f>T("   ZZZ_Monde")</f>
        <v xml:space="preserve">   ZZZ_Monde</v>
      </c>
      <c r="C44">
        <v>3180000</v>
      </c>
      <c r="D44">
        <v>20250</v>
      </c>
    </row>
    <row r="45" spans="1:4" x14ac:dyDescent="0.25">
      <c r="A45" t="str">
        <f>T("   CD")</f>
        <v xml:space="preserve">   CD</v>
      </c>
      <c r="B45" t="str">
        <f>T("   Congo, République Démocratique")</f>
        <v xml:space="preserve">   Congo, République Démocratique</v>
      </c>
      <c r="C45">
        <v>2160000</v>
      </c>
      <c r="D45">
        <v>12600</v>
      </c>
    </row>
    <row r="46" spans="1:4" x14ac:dyDescent="0.25">
      <c r="A46" t="str">
        <f>T("   GA")</f>
        <v xml:space="preserve">   GA</v>
      </c>
      <c r="B46" t="str">
        <f>T("   Gabon")</f>
        <v xml:space="preserve">   Gabon</v>
      </c>
      <c r="C46">
        <v>1020000</v>
      </c>
      <c r="D46">
        <v>7650</v>
      </c>
    </row>
    <row r="47" spans="1:4" x14ac:dyDescent="0.25">
      <c r="A47" t="str">
        <f>T("071490")</f>
        <v>071490</v>
      </c>
      <c r="B47" t="str">
        <f>T("Racines d'arrow-root ou de salep, topinambours et racines et tubercules simil. à haute teneur en fécule ou en inuline, frais, réfrigérés, congelés ou séchés, même débités en morceaux ou agglomérés sous forme de pellets et moelle de sagoutier (à l'excl. de")</f>
        <v>Racines d'arrow-root ou de salep, topinambours et racines et tubercules simil. à haute teneur en fécule ou en inuline, frais, réfrigérés, congelés ou séchés, même débités en morceaux ou agglomérés sous forme de pellets et moelle de sagoutier (à l'excl. de</v>
      </c>
    </row>
    <row r="48" spans="1:4" x14ac:dyDescent="0.25">
      <c r="A48" t="str">
        <f>T("   ZZZ_Monde")</f>
        <v xml:space="preserve">   ZZZ_Monde</v>
      </c>
      <c r="B48" t="str">
        <f>T("   ZZZ_Monde")</f>
        <v xml:space="preserve">   ZZZ_Monde</v>
      </c>
      <c r="C48">
        <v>12005000</v>
      </c>
      <c r="D48">
        <v>163500</v>
      </c>
    </row>
    <row r="49" spans="1:4" x14ac:dyDescent="0.25">
      <c r="A49" t="str">
        <f>T("   GA")</f>
        <v xml:space="preserve">   GA</v>
      </c>
      <c r="B49" t="str">
        <f>T("   Gabon")</f>
        <v xml:space="preserve">   Gabon</v>
      </c>
      <c r="C49">
        <v>10805000</v>
      </c>
      <c r="D49">
        <v>151500</v>
      </c>
    </row>
    <row r="50" spans="1:4" x14ac:dyDescent="0.25">
      <c r="A50" t="str">
        <f>T("   US")</f>
        <v xml:space="preserve">   US</v>
      </c>
      <c r="B50" t="str">
        <f>T("   Etats-Unis")</f>
        <v xml:space="preserve">   Etats-Unis</v>
      </c>
      <c r="C50">
        <v>1200000</v>
      </c>
      <c r="D50">
        <v>12000</v>
      </c>
    </row>
    <row r="51" spans="1:4" x14ac:dyDescent="0.25">
      <c r="A51" t="str">
        <f>T("080121")</f>
        <v>080121</v>
      </c>
      <c r="B51" t="str">
        <f>T("Noix du Brésil, fraîches ou sèches, en coques")</f>
        <v>Noix du Brésil, fraîches ou sèches, en coques</v>
      </c>
    </row>
    <row r="52" spans="1:4" x14ac:dyDescent="0.25">
      <c r="A52" t="str">
        <f>T("   ZZZ_Monde")</f>
        <v xml:space="preserve">   ZZZ_Monde</v>
      </c>
      <c r="B52" t="str">
        <f>T("   ZZZ_Monde")</f>
        <v xml:space="preserve">   ZZZ_Monde</v>
      </c>
      <c r="C52">
        <v>42856752</v>
      </c>
      <c r="D52">
        <v>203440</v>
      </c>
    </row>
    <row r="53" spans="1:4" x14ac:dyDescent="0.25">
      <c r="A53" t="str">
        <f>T("   CN")</f>
        <v xml:space="preserve">   CN</v>
      </c>
      <c r="B53" t="str">
        <f>T("   Chine")</f>
        <v xml:space="preserve">   Chine</v>
      </c>
      <c r="C53">
        <v>21189916</v>
      </c>
      <c r="D53">
        <v>101360</v>
      </c>
    </row>
    <row r="54" spans="1:4" x14ac:dyDescent="0.25">
      <c r="A54" t="str">
        <f>T("   IN")</f>
        <v xml:space="preserve">   IN</v>
      </c>
      <c r="B54" t="str">
        <f>T("   Inde")</f>
        <v xml:space="preserve">   Inde</v>
      </c>
      <c r="C54">
        <v>21666836</v>
      </c>
      <c r="D54">
        <v>102080</v>
      </c>
    </row>
    <row r="55" spans="1:4" x14ac:dyDescent="0.25">
      <c r="A55" t="str">
        <f>T("080131")</f>
        <v>080131</v>
      </c>
      <c r="B55" t="str">
        <f>T("Noix de cajou, fraîches ou sèches, en coques")</f>
        <v>Noix de cajou, fraîches ou sèches, en coques</v>
      </c>
    </row>
    <row r="56" spans="1:4" x14ac:dyDescent="0.25">
      <c r="A56" t="str">
        <f>T("   ZZZ_Monde")</f>
        <v xml:space="preserve">   ZZZ_Monde</v>
      </c>
      <c r="B56" t="str">
        <f>T("   ZZZ_Monde")</f>
        <v xml:space="preserve">   ZZZ_Monde</v>
      </c>
      <c r="C56">
        <v>17696945381</v>
      </c>
      <c r="D56">
        <v>51265077</v>
      </c>
    </row>
    <row r="57" spans="1:4" x14ac:dyDescent="0.25">
      <c r="A57" t="str">
        <f>T("   AE")</f>
        <v xml:space="preserve">   AE</v>
      </c>
      <c r="B57" t="str">
        <f>T("   Emirats Arabes Unis")</f>
        <v xml:space="preserve">   Emirats Arabes Unis</v>
      </c>
      <c r="C57">
        <v>744172155</v>
      </c>
      <c r="D57">
        <v>1638419</v>
      </c>
    </row>
    <row r="58" spans="1:4" x14ac:dyDescent="0.25">
      <c r="A58" t="str">
        <f>T("   AU")</f>
        <v xml:space="preserve">   AU</v>
      </c>
      <c r="B58" t="str">
        <f>T("   Australie")</f>
        <v xml:space="preserve">   Australie</v>
      </c>
      <c r="C58">
        <v>300000000</v>
      </c>
      <c r="D58">
        <v>1500000</v>
      </c>
    </row>
    <row r="59" spans="1:4" x14ac:dyDescent="0.25">
      <c r="A59" t="str">
        <f>T("   CN")</f>
        <v xml:space="preserve">   CN</v>
      </c>
      <c r="B59" t="str">
        <f>T("   Chine")</f>
        <v xml:space="preserve">   Chine</v>
      </c>
      <c r="C59">
        <v>38350000</v>
      </c>
      <c r="D59">
        <v>200000</v>
      </c>
    </row>
    <row r="60" spans="1:4" x14ac:dyDescent="0.25">
      <c r="A60" t="str">
        <f>T("   HK")</f>
        <v xml:space="preserve">   HK</v>
      </c>
      <c r="B60" t="str">
        <f>T("   Hong-Kong")</f>
        <v xml:space="preserve">   Hong-Kong</v>
      </c>
      <c r="C60">
        <v>364443971</v>
      </c>
      <c r="D60">
        <v>1030580</v>
      </c>
    </row>
    <row r="61" spans="1:4" x14ac:dyDescent="0.25">
      <c r="A61" t="str">
        <f>T("   ID")</f>
        <v xml:space="preserve">   ID</v>
      </c>
      <c r="B61" t="str">
        <f>T("   Indonésie")</f>
        <v xml:space="preserve">   Indonésie</v>
      </c>
      <c r="C61">
        <v>900000</v>
      </c>
      <c r="D61">
        <v>4500</v>
      </c>
    </row>
    <row r="62" spans="1:4" x14ac:dyDescent="0.25">
      <c r="A62" t="str">
        <f>T("   IN")</f>
        <v xml:space="preserve">   IN</v>
      </c>
      <c r="B62" t="str">
        <f>T("   Inde")</f>
        <v xml:space="preserve">   Inde</v>
      </c>
      <c r="C62">
        <v>13631004284</v>
      </c>
      <c r="D62">
        <v>39986921</v>
      </c>
    </row>
    <row r="63" spans="1:4" x14ac:dyDescent="0.25">
      <c r="A63" t="str">
        <f>T("   MA")</f>
        <v xml:space="preserve">   MA</v>
      </c>
      <c r="B63" t="str">
        <f>T("   Maroc")</f>
        <v xml:space="preserve">   Maroc</v>
      </c>
      <c r="C63">
        <v>14625927</v>
      </c>
      <c r="D63">
        <v>51086</v>
      </c>
    </row>
    <row r="64" spans="1:4" x14ac:dyDescent="0.25">
      <c r="A64" t="str">
        <f>T("   NL")</f>
        <v xml:space="preserve">   NL</v>
      </c>
      <c r="B64" t="str">
        <f>T("   Pays-bas")</f>
        <v xml:space="preserve">   Pays-bas</v>
      </c>
      <c r="C64">
        <v>140941837</v>
      </c>
      <c r="D64">
        <v>320000</v>
      </c>
    </row>
    <row r="65" spans="1:4" x14ac:dyDescent="0.25">
      <c r="A65" t="str">
        <f>T("   SG")</f>
        <v xml:space="preserve">   SG</v>
      </c>
      <c r="B65" t="str">
        <f>T("   Singapour")</f>
        <v xml:space="preserve">   Singapour</v>
      </c>
      <c r="C65">
        <v>951378255</v>
      </c>
      <c r="D65">
        <v>1818204</v>
      </c>
    </row>
    <row r="66" spans="1:4" x14ac:dyDescent="0.25">
      <c r="A66" t="str">
        <f>T("   VN")</f>
        <v xml:space="preserve">   VN</v>
      </c>
      <c r="B66" t="str">
        <f>T("   Vietnam")</f>
        <v xml:space="preserve">   Vietnam</v>
      </c>
      <c r="C66">
        <v>1476401378</v>
      </c>
      <c r="D66">
        <v>4185951</v>
      </c>
    </row>
    <row r="67" spans="1:4" x14ac:dyDescent="0.25">
      <c r="A67" t="str">
        <f>T("   ZA")</f>
        <v xml:space="preserve">   ZA</v>
      </c>
      <c r="B67" t="str">
        <f>T("   Afrique du Sud")</f>
        <v xml:space="preserve">   Afrique du Sud</v>
      </c>
      <c r="C67">
        <v>34727574</v>
      </c>
      <c r="D67">
        <v>529416</v>
      </c>
    </row>
    <row r="68" spans="1:4" x14ac:dyDescent="0.25">
      <c r="A68" t="str">
        <f>T("080132")</f>
        <v>080132</v>
      </c>
      <c r="B68" t="str">
        <f>T("Noix de cajou, fraîches ou sèches, sans coques")</f>
        <v>Noix de cajou, fraîches ou sèches, sans coques</v>
      </c>
    </row>
    <row r="69" spans="1:4" x14ac:dyDescent="0.25">
      <c r="A69" t="str">
        <f>T("   ZZZ_Monde")</f>
        <v xml:space="preserve">   ZZZ_Monde</v>
      </c>
      <c r="B69" t="str">
        <f>T("   ZZZ_Monde")</f>
        <v xml:space="preserve">   ZZZ_Monde</v>
      </c>
      <c r="C69">
        <v>197147997</v>
      </c>
      <c r="D69">
        <v>83077</v>
      </c>
    </row>
    <row r="70" spans="1:4" x14ac:dyDescent="0.25">
      <c r="A70" t="str">
        <f>T("   NL")</f>
        <v xml:space="preserve">   NL</v>
      </c>
      <c r="B70" t="str">
        <f>T("   Pays-bas")</f>
        <v xml:space="preserve">   Pays-bas</v>
      </c>
      <c r="C70">
        <v>167847405</v>
      </c>
      <c r="D70">
        <v>69333</v>
      </c>
    </row>
    <row r="71" spans="1:4" x14ac:dyDescent="0.25">
      <c r="A71" t="str">
        <f>T("   ZA")</f>
        <v xml:space="preserve">   ZA</v>
      </c>
      <c r="B71" t="str">
        <f>T("   Afrique du Sud")</f>
        <v xml:space="preserve">   Afrique du Sud</v>
      </c>
      <c r="C71">
        <v>29300592</v>
      </c>
      <c r="D71">
        <v>13744</v>
      </c>
    </row>
    <row r="72" spans="1:4" x14ac:dyDescent="0.25">
      <c r="A72" t="str">
        <f>T("080211")</f>
        <v>080211</v>
      </c>
      <c r="B72" t="str">
        <f>T("Amandes, fraîches ou sèches, en coques")</f>
        <v>Amandes, fraîches ou sèches, en coques</v>
      </c>
    </row>
    <row r="73" spans="1:4" x14ac:dyDescent="0.25">
      <c r="A73" t="str">
        <f>T("   ZZZ_Monde")</f>
        <v xml:space="preserve">   ZZZ_Monde</v>
      </c>
      <c r="B73" t="str">
        <f>T("   ZZZ_Monde")</f>
        <v xml:space="preserve">   ZZZ_Monde</v>
      </c>
      <c r="C73">
        <v>5540683256</v>
      </c>
      <c r="D73">
        <v>28849635</v>
      </c>
    </row>
    <row r="74" spans="1:4" x14ac:dyDescent="0.25">
      <c r="A74" t="str">
        <f>T("   DE")</f>
        <v xml:space="preserve">   DE</v>
      </c>
      <c r="B74" t="str">
        <f>T("   Allemagne")</f>
        <v xml:space="preserve">   Allemagne</v>
      </c>
      <c r="C74">
        <v>57396500</v>
      </c>
      <c r="D74">
        <v>350000</v>
      </c>
    </row>
    <row r="75" spans="1:4" x14ac:dyDescent="0.25">
      <c r="A75" t="str">
        <f>T("   DK")</f>
        <v xml:space="preserve">   DK</v>
      </c>
      <c r="B75" t="str">
        <f>T("   Danemark")</f>
        <v xml:space="preserve">   Danemark</v>
      </c>
      <c r="C75">
        <v>5431512790</v>
      </c>
      <c r="D75">
        <v>27170000</v>
      </c>
    </row>
    <row r="76" spans="1:4" x14ac:dyDescent="0.25">
      <c r="A76" t="str">
        <f>T("   GH")</f>
        <v xml:space="preserve">   GH</v>
      </c>
      <c r="B76" t="str">
        <f>T("   Ghana")</f>
        <v xml:space="preserve">   Ghana</v>
      </c>
      <c r="C76">
        <v>15147918</v>
      </c>
      <c r="D76">
        <v>708932</v>
      </c>
    </row>
    <row r="77" spans="1:4" x14ac:dyDescent="0.25">
      <c r="A77" t="str">
        <f>T("   IN")</f>
        <v xml:space="preserve">   IN</v>
      </c>
      <c r="B77" t="str">
        <f>T("   Inde")</f>
        <v xml:space="preserve">   Inde</v>
      </c>
      <c r="C77">
        <v>36626048</v>
      </c>
      <c r="D77">
        <v>620703</v>
      </c>
    </row>
    <row r="78" spans="1:4" x14ac:dyDescent="0.25">
      <c r="A78" t="str">
        <f>T("080221")</f>
        <v>080221</v>
      </c>
      <c r="B78" t="str">
        <f>T("Noisettes 'Corylus spp.', fraîches ou sèches, en coques")</f>
        <v>Noisettes 'Corylus spp.', fraîches ou sèches, en coques</v>
      </c>
    </row>
    <row r="79" spans="1:4" x14ac:dyDescent="0.25">
      <c r="A79" t="str">
        <f>T("   ZZZ_Monde")</f>
        <v xml:space="preserve">   ZZZ_Monde</v>
      </c>
      <c r="B79" t="str">
        <f>T("   ZZZ_Monde")</f>
        <v xml:space="preserve">   ZZZ_Monde</v>
      </c>
      <c r="C79">
        <v>19600000</v>
      </c>
      <c r="D79">
        <v>97600</v>
      </c>
    </row>
    <row r="80" spans="1:4" x14ac:dyDescent="0.25">
      <c r="A80" t="str">
        <f>T("   IN")</f>
        <v xml:space="preserve">   IN</v>
      </c>
      <c r="B80" t="str">
        <f>T("   Inde")</f>
        <v xml:space="preserve">   Inde</v>
      </c>
      <c r="C80">
        <v>19600000</v>
      </c>
      <c r="D80">
        <v>97600</v>
      </c>
    </row>
    <row r="81" spans="1:4" x14ac:dyDescent="0.25">
      <c r="A81" t="str">
        <f>T("080290")</f>
        <v>080290</v>
      </c>
      <c r="B81"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82" spans="1:4" x14ac:dyDescent="0.25">
      <c r="A82" t="str">
        <f>T("   ZZZ_Monde")</f>
        <v xml:space="preserve">   ZZZ_Monde</v>
      </c>
      <c r="B82" t="str">
        <f>T("   ZZZ_Monde")</f>
        <v xml:space="preserve">   ZZZ_Monde</v>
      </c>
      <c r="C82">
        <v>1110550920</v>
      </c>
      <c r="D82">
        <v>7836558</v>
      </c>
    </row>
    <row r="83" spans="1:4" x14ac:dyDescent="0.25">
      <c r="A83" t="str">
        <f>T("   IN")</f>
        <v xml:space="preserve">   IN</v>
      </c>
      <c r="B83" t="str">
        <f>T("   Inde")</f>
        <v xml:space="preserve">   Inde</v>
      </c>
      <c r="C83">
        <v>1108326920</v>
      </c>
      <c r="D83">
        <v>7812478</v>
      </c>
    </row>
    <row r="84" spans="1:4" x14ac:dyDescent="0.25">
      <c r="A84" t="str">
        <f>T("   SN")</f>
        <v xml:space="preserve">   SN</v>
      </c>
      <c r="B84" t="str">
        <f>T("   Sénégal")</f>
        <v xml:space="preserve">   Sénégal</v>
      </c>
      <c r="C84">
        <v>1224000</v>
      </c>
      <c r="D84">
        <v>4080</v>
      </c>
    </row>
    <row r="85" spans="1:4" x14ac:dyDescent="0.25">
      <c r="A85" t="str">
        <f>T("   TH")</f>
        <v xml:space="preserve">   TH</v>
      </c>
      <c r="B85" t="str">
        <f>T("   Thaïlande")</f>
        <v xml:space="preserve">   Thaïlande</v>
      </c>
      <c r="C85">
        <v>1000000</v>
      </c>
      <c r="D85">
        <v>20000</v>
      </c>
    </row>
    <row r="86" spans="1:4" x14ac:dyDescent="0.25">
      <c r="A86" t="str">
        <f>T("080410")</f>
        <v>080410</v>
      </c>
      <c r="B86" t="str">
        <f>T("Dattes, fraîches ou sèches")</f>
        <v>Dattes, fraîches ou sèches</v>
      </c>
    </row>
    <row r="87" spans="1:4" x14ac:dyDescent="0.25">
      <c r="A87" t="str">
        <f>T("   ZZZ_Monde")</f>
        <v xml:space="preserve">   ZZZ_Monde</v>
      </c>
      <c r="B87" t="str">
        <f>T("   ZZZ_Monde")</f>
        <v xml:space="preserve">   ZZZ_Monde</v>
      </c>
      <c r="C87">
        <v>1450000</v>
      </c>
      <c r="D87">
        <v>12000</v>
      </c>
    </row>
    <row r="88" spans="1:4" x14ac:dyDescent="0.25">
      <c r="A88" t="str">
        <f>T("   GA")</f>
        <v xml:space="preserve">   GA</v>
      </c>
      <c r="B88" t="str">
        <f>T("   Gabon")</f>
        <v xml:space="preserve">   Gabon</v>
      </c>
      <c r="C88">
        <v>1450000</v>
      </c>
      <c r="D88">
        <v>12000</v>
      </c>
    </row>
    <row r="89" spans="1:4" x14ac:dyDescent="0.25">
      <c r="A89" t="str">
        <f>T("080430")</f>
        <v>080430</v>
      </c>
      <c r="B89" t="str">
        <f>T("Ananas, frais ou secs")</f>
        <v>Ananas, frais ou secs</v>
      </c>
    </row>
    <row r="90" spans="1:4" x14ac:dyDescent="0.25">
      <c r="A90" t="str">
        <f>T("   ZZZ_Monde")</f>
        <v xml:space="preserve">   ZZZ_Monde</v>
      </c>
      <c r="B90" t="str">
        <f>T("   ZZZ_Monde")</f>
        <v xml:space="preserve">   ZZZ_Monde</v>
      </c>
      <c r="C90">
        <v>9135221</v>
      </c>
      <c r="D90">
        <v>4415</v>
      </c>
    </row>
    <row r="91" spans="1:4" x14ac:dyDescent="0.25">
      <c r="A91" t="str">
        <f>T("   BE")</f>
        <v xml:space="preserve">   BE</v>
      </c>
      <c r="B91" t="str">
        <f>T("   Belgique")</f>
        <v xml:space="preserve">   Belgique</v>
      </c>
      <c r="C91">
        <v>7279516</v>
      </c>
      <c r="D91">
        <v>90</v>
      </c>
    </row>
    <row r="92" spans="1:4" x14ac:dyDescent="0.25">
      <c r="A92" t="str">
        <f>T("   FR")</f>
        <v xml:space="preserve">   FR</v>
      </c>
      <c r="B92" t="str">
        <f>T("   France")</f>
        <v xml:space="preserve">   France</v>
      </c>
      <c r="C92">
        <v>1199745</v>
      </c>
      <c r="D92">
        <v>1875</v>
      </c>
    </row>
    <row r="93" spans="1:4" x14ac:dyDescent="0.25">
      <c r="A93" t="str">
        <f>T("   MA")</f>
        <v xml:space="preserve">   MA</v>
      </c>
      <c r="B93" t="str">
        <f>T("   Maroc")</f>
        <v xml:space="preserve">   Maroc</v>
      </c>
      <c r="C93">
        <v>655960</v>
      </c>
      <c r="D93">
        <v>2450</v>
      </c>
    </row>
    <row r="94" spans="1:4" x14ac:dyDescent="0.25">
      <c r="A94" t="str">
        <f>T("080590")</f>
        <v>080590</v>
      </c>
      <c r="B94" t="str">
        <f>T("AGRUMES, FRAIS OU SECS (À L'EXCL. DES ORANGES, DES CITRONS 'CITRUS LIMON, CITRUS LIMONUM', DES LIMES 'CITRUS AURANTIFOLIA, CITRUS LATIFOLIA', DES PAMPLEMOUSSES, DES POMÉLOS, DES MANDARINES - Y.C. LES TANGERINES ET LES SATSUMAS -, DES CLÉMENTINES, DES WILK")</f>
        <v>AGRUMES, FRAIS OU SECS (À L'EXCL. DES ORANGES, DES CITRONS 'CITRUS LIMON, CITRUS LIMONUM', DES LIMES 'CITRUS AURANTIFOLIA, CITRUS LATIFOLIA', DES PAMPLEMOUSSES, DES POMÉLOS, DES MANDARINES - Y.C. LES TANGERINES ET LES SATSUMAS -, DES CLÉMENTINES, DES WILK</v>
      </c>
    </row>
    <row r="95" spans="1:4" x14ac:dyDescent="0.25">
      <c r="A95" t="str">
        <f>T("   ZZZ_Monde")</f>
        <v xml:space="preserve">   ZZZ_Monde</v>
      </c>
      <c r="B95" t="str">
        <f>T("   ZZZ_Monde")</f>
        <v xml:space="preserve">   ZZZ_Monde</v>
      </c>
      <c r="C95">
        <v>500000</v>
      </c>
      <c r="D95">
        <v>10000</v>
      </c>
    </row>
    <row r="96" spans="1:4" x14ac:dyDescent="0.25">
      <c r="A96" t="str">
        <f>T("   VN")</f>
        <v xml:space="preserve">   VN</v>
      </c>
      <c r="B96" t="str">
        <f>T("   Vietnam")</f>
        <v xml:space="preserve">   Vietnam</v>
      </c>
      <c r="C96">
        <v>500000</v>
      </c>
      <c r="D96">
        <v>10000</v>
      </c>
    </row>
    <row r="97" spans="1:4" x14ac:dyDescent="0.25">
      <c r="A97" t="str">
        <f>T("081340")</f>
        <v>081340</v>
      </c>
      <c r="B97" t="str">
        <f>T("PÊCHES, POIRES, PAPAYES, TAMARINS ET AUTRES FRUITS COMESTIBLES, SÉCHÉS (SAUF FRUITS À COQUE, BANANES, DATTES, FIGUES, ANANAS, AVOCATS, GOYAVES, MANGUES, MAGOUSTANS, AGRUMES, RAISINS, ABRICOTS, PRUNES ET POMMES, NON-MÉLANGÉS)")</f>
        <v>PÊCHES, POIRES, PAPAYES, TAMARINS ET AUTRES FRUITS COMESTIBLES, SÉCHÉS (SAUF FRUITS À COQUE, BANANES, DATTES, FIGUES, ANANAS, AVOCATS, GOYAVES, MANGUES, MAGOUSTANS, AGRUMES, RAISINS, ABRICOTS, PRUNES ET POMMES, NON-MÉLANGÉS)</v>
      </c>
    </row>
    <row r="98" spans="1:4" x14ac:dyDescent="0.25">
      <c r="A98" t="str">
        <f>T("   ZZZ_Monde")</f>
        <v xml:space="preserve">   ZZZ_Monde</v>
      </c>
      <c r="B98" t="str">
        <f>T("   ZZZ_Monde")</f>
        <v xml:space="preserve">   ZZZ_Monde</v>
      </c>
      <c r="C98">
        <v>7867188</v>
      </c>
      <c r="D98">
        <v>56194</v>
      </c>
    </row>
    <row r="99" spans="1:4" x14ac:dyDescent="0.25">
      <c r="A99" t="str">
        <f>T("   IN")</f>
        <v xml:space="preserve">   IN</v>
      </c>
      <c r="B99" t="str">
        <f>T("   Inde")</f>
        <v xml:space="preserve">   Inde</v>
      </c>
      <c r="C99">
        <v>7867188</v>
      </c>
      <c r="D99">
        <v>56194</v>
      </c>
    </row>
    <row r="100" spans="1:4" x14ac:dyDescent="0.25">
      <c r="A100" t="str">
        <f>T("090420")</f>
        <v>090420</v>
      </c>
      <c r="B100" t="str">
        <f>T("Piments du genre 'Capsicum' ou du genre 'Pimenta', séchés ou broyés ou pulvérisés")</f>
        <v>Piments du genre 'Capsicum' ou du genre 'Pimenta', séchés ou broyés ou pulvérisés</v>
      </c>
    </row>
    <row r="101" spans="1:4" x14ac:dyDescent="0.25">
      <c r="A101" t="str">
        <f>T("   ZZZ_Monde")</f>
        <v xml:space="preserve">   ZZZ_Monde</v>
      </c>
      <c r="B101" t="str">
        <f>T("   ZZZ_Monde")</f>
        <v xml:space="preserve">   ZZZ_Monde</v>
      </c>
      <c r="C101">
        <v>8521980</v>
      </c>
      <c r="D101">
        <v>28506</v>
      </c>
    </row>
    <row r="102" spans="1:4" x14ac:dyDescent="0.25">
      <c r="A102" t="str">
        <f>T("   ID")</f>
        <v xml:space="preserve">   ID</v>
      </c>
      <c r="B102" t="str">
        <f>T("   Indonésie")</f>
        <v xml:space="preserve">   Indonésie</v>
      </c>
      <c r="C102">
        <v>2500000</v>
      </c>
      <c r="D102">
        <v>16048</v>
      </c>
    </row>
    <row r="103" spans="1:4" x14ac:dyDescent="0.25">
      <c r="A103" t="str">
        <f>T("   SN")</f>
        <v xml:space="preserve">   SN</v>
      </c>
      <c r="B103" t="str">
        <f>T("   Sénégal")</f>
        <v xml:space="preserve">   Sénégal</v>
      </c>
      <c r="C103">
        <v>6021980</v>
      </c>
      <c r="D103">
        <v>12458</v>
      </c>
    </row>
    <row r="104" spans="1:4" x14ac:dyDescent="0.25">
      <c r="A104" t="str">
        <f>T("091010")</f>
        <v>091010</v>
      </c>
      <c r="B104" t="str">
        <f>T("Gingembre")</f>
        <v>Gingembre</v>
      </c>
    </row>
    <row r="105" spans="1:4" x14ac:dyDescent="0.25">
      <c r="A105" t="str">
        <f>T("   ZZZ_Monde")</f>
        <v xml:space="preserve">   ZZZ_Monde</v>
      </c>
      <c r="B105" t="str">
        <f>T("   ZZZ_Monde")</f>
        <v xml:space="preserve">   ZZZ_Monde</v>
      </c>
      <c r="C105">
        <v>17622580</v>
      </c>
      <c r="D105">
        <v>90720</v>
      </c>
    </row>
    <row r="106" spans="1:4" x14ac:dyDescent="0.25">
      <c r="A106" t="str">
        <f>T("   CA")</f>
        <v xml:space="preserve">   CA</v>
      </c>
      <c r="B106" t="str">
        <f>T("   Canada")</f>
        <v xml:space="preserve">   Canada</v>
      </c>
      <c r="C106">
        <v>240000</v>
      </c>
      <c r="D106">
        <v>16000</v>
      </c>
    </row>
    <row r="107" spans="1:4" x14ac:dyDescent="0.25">
      <c r="A107" t="str">
        <f>T("   FR")</f>
        <v xml:space="preserve">   FR</v>
      </c>
      <c r="B107" t="str">
        <f>T("   France")</f>
        <v xml:space="preserve">   France</v>
      </c>
      <c r="C107">
        <v>800280</v>
      </c>
      <c r="D107">
        <v>8720</v>
      </c>
    </row>
    <row r="108" spans="1:4" x14ac:dyDescent="0.25">
      <c r="A108" t="str">
        <f>T("   MA")</f>
        <v xml:space="preserve">   MA</v>
      </c>
      <c r="B108" t="str">
        <f>T("   Maroc")</f>
        <v xml:space="preserve">   Maroc</v>
      </c>
      <c r="C108">
        <v>16582300</v>
      </c>
      <c r="D108">
        <v>66000</v>
      </c>
    </row>
    <row r="109" spans="1:4" x14ac:dyDescent="0.25">
      <c r="A109" t="str">
        <f>T("100590")</f>
        <v>100590</v>
      </c>
      <c r="B109" t="str">
        <f>T("Maïs (autre que de semence)")</f>
        <v>Maïs (autre que de semence)</v>
      </c>
    </row>
    <row r="110" spans="1:4" x14ac:dyDescent="0.25">
      <c r="A110" t="str">
        <f>T("   ZZZ_Monde")</f>
        <v xml:space="preserve">   ZZZ_Monde</v>
      </c>
      <c r="B110" t="str">
        <f>T("   ZZZ_Monde")</f>
        <v xml:space="preserve">   ZZZ_Monde</v>
      </c>
      <c r="C110">
        <v>3730000</v>
      </c>
      <c r="D110">
        <v>37750</v>
      </c>
    </row>
    <row r="111" spans="1:4" x14ac:dyDescent="0.25">
      <c r="A111" t="str">
        <f>T("   CG")</f>
        <v xml:space="preserve">   CG</v>
      </c>
      <c r="B111" t="str">
        <f>T("   Congo (Brazzaville)")</f>
        <v xml:space="preserve">   Congo (Brazzaville)</v>
      </c>
      <c r="C111">
        <v>1000000</v>
      </c>
      <c r="D111">
        <v>5000</v>
      </c>
    </row>
    <row r="112" spans="1:4" x14ac:dyDescent="0.25">
      <c r="A112" t="str">
        <f>T("   CM")</f>
        <v xml:space="preserve">   CM</v>
      </c>
      <c r="B112" t="str">
        <f>T("   Cameroun")</f>
        <v xml:space="preserve">   Cameroun</v>
      </c>
      <c r="C112">
        <v>1350000</v>
      </c>
      <c r="D112">
        <v>18750</v>
      </c>
    </row>
    <row r="113" spans="1:4" x14ac:dyDescent="0.25">
      <c r="A113" t="str">
        <f>T("   GA")</f>
        <v xml:space="preserve">   GA</v>
      </c>
      <c r="B113" t="str">
        <f>T("   Gabon")</f>
        <v xml:space="preserve">   Gabon</v>
      </c>
      <c r="C113">
        <v>1380000</v>
      </c>
      <c r="D113">
        <v>14000</v>
      </c>
    </row>
    <row r="114" spans="1:4" x14ac:dyDescent="0.25">
      <c r="A114" t="str">
        <f>T("100610")</f>
        <v>100610</v>
      </c>
      <c r="B114" t="str">
        <f>T("Riz en paille [riz paddy]")</f>
        <v>Riz en paille [riz paddy]</v>
      </c>
    </row>
    <row r="115" spans="1:4" x14ac:dyDescent="0.25">
      <c r="A115" t="str">
        <f>T("   ZZZ_Monde")</f>
        <v xml:space="preserve">   ZZZ_Monde</v>
      </c>
      <c r="B115" t="str">
        <f>T("   ZZZ_Monde")</f>
        <v xml:space="preserve">   ZZZ_Monde</v>
      </c>
      <c r="C115">
        <v>1600000</v>
      </c>
      <c r="D115">
        <v>300</v>
      </c>
    </row>
    <row r="116" spans="1:4" x14ac:dyDescent="0.25">
      <c r="A116" t="str">
        <f>T("   GA")</f>
        <v xml:space="preserve">   GA</v>
      </c>
      <c r="B116" t="str">
        <f>T("   Gabon")</f>
        <v xml:space="preserve">   Gabon</v>
      </c>
      <c r="C116">
        <v>1600000</v>
      </c>
      <c r="D116">
        <v>300</v>
      </c>
    </row>
    <row r="117" spans="1:4" x14ac:dyDescent="0.25">
      <c r="A117" t="str">
        <f>T("100630")</f>
        <v>100630</v>
      </c>
      <c r="B117" t="str">
        <f>T("Riz semi-blanchi ou blanchi, même poli ou glacé")</f>
        <v>Riz semi-blanchi ou blanchi, même poli ou glacé</v>
      </c>
    </row>
    <row r="118" spans="1:4" x14ac:dyDescent="0.25">
      <c r="A118" t="str">
        <f>T("   ZZZ_Monde")</f>
        <v xml:space="preserve">   ZZZ_Monde</v>
      </c>
      <c r="B118" t="str">
        <f>T("   ZZZ_Monde")</f>
        <v xml:space="preserve">   ZZZ_Monde</v>
      </c>
      <c r="C118">
        <v>4318490000</v>
      </c>
      <c r="D118">
        <v>60110110</v>
      </c>
    </row>
    <row r="119" spans="1:4" x14ac:dyDescent="0.25">
      <c r="A119" t="str">
        <f>T("   NG")</f>
        <v xml:space="preserve">   NG</v>
      </c>
      <c r="B119" t="str">
        <f>T("   Nigéria")</f>
        <v xml:space="preserve">   Nigéria</v>
      </c>
      <c r="C119">
        <v>4318490000</v>
      </c>
      <c r="D119">
        <v>60110110</v>
      </c>
    </row>
    <row r="120" spans="1:4" x14ac:dyDescent="0.25">
      <c r="A120" t="str">
        <f>T("110100")</f>
        <v>110100</v>
      </c>
      <c r="B120" t="str">
        <f>T("Farines de froment [blé] ou de méteil")</f>
        <v>Farines de froment [blé] ou de méteil</v>
      </c>
    </row>
    <row r="121" spans="1:4" x14ac:dyDescent="0.25">
      <c r="A121" t="str">
        <f>T("   ZZZ_Monde")</f>
        <v xml:space="preserve">   ZZZ_Monde</v>
      </c>
      <c r="B121" t="str">
        <f>T("   ZZZ_Monde")</f>
        <v xml:space="preserve">   ZZZ_Monde</v>
      </c>
      <c r="C121">
        <v>89600000</v>
      </c>
      <c r="D121">
        <v>640000</v>
      </c>
    </row>
    <row r="122" spans="1:4" x14ac:dyDescent="0.25">
      <c r="A122" t="str">
        <f>T("   NE")</f>
        <v xml:space="preserve">   NE</v>
      </c>
      <c r="B122" t="str">
        <f>T("   Niger")</f>
        <v xml:space="preserve">   Niger</v>
      </c>
      <c r="C122">
        <v>89600000</v>
      </c>
      <c r="D122">
        <v>640000</v>
      </c>
    </row>
    <row r="123" spans="1:4" x14ac:dyDescent="0.25">
      <c r="A123" t="str">
        <f>T("110290")</f>
        <v>110290</v>
      </c>
      <c r="B123" t="str">
        <f>T("FARINES DE CÉRÉALES (À L'EXCL. DES FARINES DE FROMENT [BLÉ], DE MÉTEIL, DE SEIGLE ET DE MAÏS)")</f>
        <v>FARINES DE CÉRÉALES (À L'EXCL. DES FARINES DE FROMENT [BLÉ], DE MÉTEIL, DE SEIGLE ET DE MAÏS)</v>
      </c>
    </row>
    <row r="124" spans="1:4" x14ac:dyDescent="0.25">
      <c r="A124" t="str">
        <f>T("   ZZZ_Monde")</f>
        <v xml:space="preserve">   ZZZ_Monde</v>
      </c>
      <c r="B124" t="str">
        <f>T("   ZZZ_Monde")</f>
        <v xml:space="preserve">   ZZZ_Monde</v>
      </c>
      <c r="C124">
        <v>850000</v>
      </c>
      <c r="D124">
        <v>7500</v>
      </c>
    </row>
    <row r="125" spans="1:4" x14ac:dyDescent="0.25">
      <c r="A125" t="str">
        <f>T("   GA")</f>
        <v xml:space="preserve">   GA</v>
      </c>
      <c r="B125" t="str">
        <f>T("   Gabon")</f>
        <v xml:space="preserve">   Gabon</v>
      </c>
      <c r="C125">
        <v>850000</v>
      </c>
      <c r="D125">
        <v>7500</v>
      </c>
    </row>
    <row r="126" spans="1:4" x14ac:dyDescent="0.25">
      <c r="A126" t="str">
        <f>T("110419")</f>
        <v>110419</v>
      </c>
      <c r="B126" t="str">
        <f>T("GRAINS DE CÉRÉALES, APLATIS OU EN FLOCONS (À L'EXCL. DES GRAINS D'AVOINE)")</f>
        <v>GRAINS DE CÉRÉALES, APLATIS OU EN FLOCONS (À L'EXCL. DES GRAINS D'AVOINE)</v>
      </c>
    </row>
    <row r="127" spans="1:4" x14ac:dyDescent="0.25">
      <c r="A127" t="str">
        <f>T("   ZZZ_Monde")</f>
        <v xml:space="preserve">   ZZZ_Monde</v>
      </c>
      <c r="B127" t="str">
        <f>T("   ZZZ_Monde")</f>
        <v xml:space="preserve">   ZZZ_Monde</v>
      </c>
      <c r="C127">
        <v>1000000</v>
      </c>
      <c r="D127">
        <v>10000</v>
      </c>
    </row>
    <row r="128" spans="1:4" x14ac:dyDescent="0.25">
      <c r="A128" t="str">
        <f>T("   CG")</f>
        <v xml:space="preserve">   CG</v>
      </c>
      <c r="B128" t="str">
        <f>T("   Congo (Brazzaville)")</f>
        <v xml:space="preserve">   Congo (Brazzaville)</v>
      </c>
      <c r="C128">
        <v>1000000</v>
      </c>
      <c r="D128">
        <v>10000</v>
      </c>
    </row>
    <row r="129" spans="1:4" x14ac:dyDescent="0.25">
      <c r="A129" t="str">
        <f>T("110423")</f>
        <v>110423</v>
      </c>
      <c r="B129" t="str">
        <f>T("Grains de maïs, mondés, perlés, tranchés, concassés ou autrement travaillés (à l'excl. de la farine de maïs)")</f>
        <v>Grains de maïs, mondés, perlés, tranchés, concassés ou autrement travaillés (à l'excl. de la farine de maïs)</v>
      </c>
    </row>
    <row r="130" spans="1:4" x14ac:dyDescent="0.25">
      <c r="A130" t="str">
        <f>T("   ZZZ_Monde")</f>
        <v xml:space="preserve">   ZZZ_Monde</v>
      </c>
      <c r="B130" t="str">
        <f>T("   ZZZ_Monde")</f>
        <v xml:space="preserve">   ZZZ_Monde</v>
      </c>
      <c r="C130">
        <v>110085000</v>
      </c>
      <c r="D130">
        <v>350000</v>
      </c>
    </row>
    <row r="131" spans="1:4" x14ac:dyDescent="0.25">
      <c r="A131" t="str">
        <f>T("   BF")</f>
        <v xml:space="preserve">   BF</v>
      </c>
      <c r="B131" t="str">
        <f>T("   Burkina Faso")</f>
        <v xml:space="preserve">   Burkina Faso</v>
      </c>
      <c r="C131">
        <v>19945000</v>
      </c>
      <c r="D131">
        <v>70000</v>
      </c>
    </row>
    <row r="132" spans="1:4" x14ac:dyDescent="0.25">
      <c r="A132" t="str">
        <f>T("   NE")</f>
        <v xml:space="preserve">   NE</v>
      </c>
      <c r="B132" t="str">
        <f>T("   Niger")</f>
        <v xml:space="preserve">   Niger</v>
      </c>
      <c r="C132">
        <v>90140000</v>
      </c>
      <c r="D132">
        <v>280000</v>
      </c>
    </row>
    <row r="133" spans="1:4" x14ac:dyDescent="0.25">
      <c r="A133" t="str">
        <f>T("110620")</f>
        <v>110620</v>
      </c>
      <c r="B133" t="str">
        <f>T("Farines, semoules et poudres de sagou ou des racines ou tubercules du n° 0714")</f>
        <v>Farines, semoules et poudres de sagou ou des racines ou tubercules du n° 0714</v>
      </c>
    </row>
    <row r="134" spans="1:4" x14ac:dyDescent="0.25">
      <c r="A134" t="str">
        <f>T("   ZZZ_Monde")</f>
        <v xml:space="preserve">   ZZZ_Monde</v>
      </c>
      <c r="B134" t="str">
        <f>T("   ZZZ_Monde")</f>
        <v xml:space="preserve">   ZZZ_Monde</v>
      </c>
      <c r="C134">
        <v>44531236</v>
      </c>
      <c r="D134">
        <v>211896</v>
      </c>
    </row>
    <row r="135" spans="1:4" x14ac:dyDescent="0.25">
      <c r="A135" t="str">
        <f>T("   CD")</f>
        <v xml:space="preserve">   CD</v>
      </c>
      <c r="B135" t="str">
        <f>T("   Congo, République Démocratique")</f>
        <v xml:space="preserve">   Congo, République Démocratique</v>
      </c>
      <c r="C135">
        <v>2270000</v>
      </c>
      <c r="D135">
        <v>15800</v>
      </c>
    </row>
    <row r="136" spans="1:4" x14ac:dyDescent="0.25">
      <c r="A136" t="str">
        <f>T("   CG")</f>
        <v xml:space="preserve">   CG</v>
      </c>
      <c r="B136" t="str">
        <f>T("   Congo (Brazzaville)")</f>
        <v xml:space="preserve">   Congo (Brazzaville)</v>
      </c>
      <c r="C136">
        <v>3057000</v>
      </c>
      <c r="D136">
        <v>19200</v>
      </c>
    </row>
    <row r="137" spans="1:4" x14ac:dyDescent="0.25">
      <c r="A137" t="str">
        <f>T("   FR")</f>
        <v xml:space="preserve">   FR</v>
      </c>
      <c r="B137" t="str">
        <f>T("   France")</f>
        <v xml:space="preserve">   France</v>
      </c>
      <c r="C137">
        <v>19754236</v>
      </c>
      <c r="D137">
        <v>21121</v>
      </c>
    </row>
    <row r="138" spans="1:4" x14ac:dyDescent="0.25">
      <c r="A138" t="str">
        <f>T("   GA")</f>
        <v xml:space="preserve">   GA</v>
      </c>
      <c r="B138" t="str">
        <f>T("   Gabon")</f>
        <v xml:space="preserve">   Gabon</v>
      </c>
      <c r="C138">
        <v>15400000</v>
      </c>
      <c r="D138">
        <v>141775</v>
      </c>
    </row>
    <row r="139" spans="1:4" x14ac:dyDescent="0.25">
      <c r="A139" t="str">
        <f>T("   GQ")</f>
        <v xml:space="preserve">   GQ</v>
      </c>
      <c r="B139" t="str">
        <f>T("   Guinée Equatoriale")</f>
        <v xml:space="preserve">   Guinée Equatoriale</v>
      </c>
      <c r="C139">
        <v>150000</v>
      </c>
      <c r="D139">
        <v>1000</v>
      </c>
    </row>
    <row r="140" spans="1:4" x14ac:dyDescent="0.25">
      <c r="A140" t="str">
        <f>T("   SN")</f>
        <v xml:space="preserve">   SN</v>
      </c>
      <c r="B140" t="str">
        <f>T("   Sénégal")</f>
        <v xml:space="preserve">   Sénégal</v>
      </c>
      <c r="C140">
        <v>3900000</v>
      </c>
      <c r="D140">
        <v>13000</v>
      </c>
    </row>
    <row r="141" spans="1:4" x14ac:dyDescent="0.25">
      <c r="A141" t="str">
        <f>T("120100")</f>
        <v>120100</v>
      </c>
      <c r="B141" t="str">
        <f>T("Fèves de soja, même concassées")</f>
        <v>Fèves de soja, même concassées</v>
      </c>
    </row>
    <row r="142" spans="1:4" x14ac:dyDescent="0.25">
      <c r="A142" t="str">
        <f>T("   ZZZ_Monde")</f>
        <v xml:space="preserve">   ZZZ_Monde</v>
      </c>
      <c r="B142" t="str">
        <f>T("   ZZZ_Monde")</f>
        <v xml:space="preserve">   ZZZ_Monde</v>
      </c>
      <c r="C142">
        <v>3000000</v>
      </c>
      <c r="D142">
        <v>20000</v>
      </c>
    </row>
    <row r="143" spans="1:4" x14ac:dyDescent="0.25">
      <c r="A143" t="str">
        <f>T("   GH")</f>
        <v xml:space="preserve">   GH</v>
      </c>
      <c r="B143" t="str">
        <f>T("   Ghana")</f>
        <v xml:space="preserve">   Ghana</v>
      </c>
      <c r="C143">
        <v>3000000</v>
      </c>
      <c r="D143">
        <v>20000</v>
      </c>
    </row>
    <row r="144" spans="1:4" x14ac:dyDescent="0.25">
      <c r="A144" t="str">
        <f>T("120710")</f>
        <v>120710</v>
      </c>
      <c r="B144" t="str">
        <f>T("NOIX ET AMANDES DE PALMISTES")</f>
        <v>NOIX ET AMANDES DE PALMISTES</v>
      </c>
    </row>
    <row r="145" spans="1:4" x14ac:dyDescent="0.25">
      <c r="A145" t="str">
        <f>T("   ZZZ_Monde")</f>
        <v xml:space="preserve">   ZZZ_Monde</v>
      </c>
      <c r="B145" t="str">
        <f>T("   ZZZ_Monde")</f>
        <v xml:space="preserve">   ZZZ_Monde</v>
      </c>
      <c r="C145">
        <v>1102854984</v>
      </c>
      <c r="D145">
        <v>118061</v>
      </c>
    </row>
    <row r="146" spans="1:4" x14ac:dyDescent="0.25">
      <c r="A146" t="str">
        <f>T("   BE")</f>
        <v xml:space="preserve">   BE</v>
      </c>
      <c r="B146" t="str">
        <f>T("   Belgique")</f>
        <v xml:space="preserve">   Belgique</v>
      </c>
      <c r="C146">
        <v>12397588</v>
      </c>
      <c r="D146">
        <v>112</v>
      </c>
    </row>
    <row r="147" spans="1:4" x14ac:dyDescent="0.25">
      <c r="A147" t="str">
        <f>T("   BI")</f>
        <v xml:space="preserve">   BI</v>
      </c>
      <c r="B147" t="str">
        <f>T("   Burundi")</f>
        <v xml:space="preserve">   Burundi</v>
      </c>
      <c r="C147">
        <v>39488611</v>
      </c>
      <c r="D147">
        <v>349</v>
      </c>
    </row>
    <row r="148" spans="1:4" x14ac:dyDescent="0.25">
      <c r="A148" t="str">
        <f>T("   CD")</f>
        <v xml:space="preserve">   CD</v>
      </c>
      <c r="B148" t="str">
        <f>T("   Congo, République Démocratique")</f>
        <v xml:space="preserve">   Congo, République Démocratique</v>
      </c>
      <c r="C148">
        <v>70252997</v>
      </c>
      <c r="D148">
        <v>616</v>
      </c>
    </row>
    <row r="149" spans="1:4" x14ac:dyDescent="0.25">
      <c r="A149" t="str">
        <f>T("   CG")</f>
        <v xml:space="preserve">   CG</v>
      </c>
      <c r="B149" t="str">
        <f>T("   Congo (Brazzaville)")</f>
        <v xml:space="preserve">   Congo (Brazzaville)</v>
      </c>
      <c r="C149">
        <v>76746969</v>
      </c>
      <c r="D149">
        <v>672</v>
      </c>
    </row>
    <row r="150" spans="1:4" x14ac:dyDescent="0.25">
      <c r="A150" t="str">
        <f>T("   CN")</f>
        <v xml:space="preserve">   CN</v>
      </c>
      <c r="B150" t="str">
        <f>T("   Chine")</f>
        <v xml:space="preserve">   Chine</v>
      </c>
      <c r="C150">
        <v>1800000</v>
      </c>
      <c r="D150">
        <v>12000</v>
      </c>
    </row>
    <row r="151" spans="1:4" x14ac:dyDescent="0.25">
      <c r="A151" t="str">
        <f>T("   CO")</f>
        <v xml:space="preserve">   CO</v>
      </c>
      <c r="B151" t="str">
        <f>T("   Colombie")</f>
        <v xml:space="preserve">   Colombie</v>
      </c>
      <c r="C151">
        <v>19879901</v>
      </c>
      <c r="D151">
        <v>59</v>
      </c>
    </row>
    <row r="152" spans="1:4" x14ac:dyDescent="0.25">
      <c r="A152" t="str">
        <f>T("   EC")</f>
        <v xml:space="preserve">   EC</v>
      </c>
      <c r="B152" t="str">
        <f>T("   Equateur")</f>
        <v xml:space="preserve">   Equateur</v>
      </c>
      <c r="C152">
        <v>60000</v>
      </c>
      <c r="D152">
        <v>254</v>
      </c>
    </row>
    <row r="153" spans="1:4" x14ac:dyDescent="0.25">
      <c r="A153" t="str">
        <f>T("   GH")</f>
        <v xml:space="preserve">   GH</v>
      </c>
      <c r="B153" t="str">
        <f>T("   Ghana")</f>
        <v xml:space="preserve">   Ghana</v>
      </c>
      <c r="C153">
        <v>43293162</v>
      </c>
      <c r="D153">
        <v>525</v>
      </c>
    </row>
    <row r="154" spans="1:4" x14ac:dyDescent="0.25">
      <c r="A154" t="str">
        <f>T("   GW")</f>
        <v xml:space="preserve">   GW</v>
      </c>
      <c r="B154" t="str">
        <f>T("   Guinée-Bissau")</f>
        <v xml:space="preserve">   Guinée-Bissau</v>
      </c>
      <c r="C154">
        <v>27550194</v>
      </c>
      <c r="D154">
        <v>275</v>
      </c>
    </row>
    <row r="155" spans="1:4" x14ac:dyDescent="0.25">
      <c r="A155" t="str">
        <f>T("   HK")</f>
        <v xml:space="preserve">   HK</v>
      </c>
      <c r="B155" t="str">
        <f>T("   Hong-Kong")</f>
        <v xml:space="preserve">   Hong-Kong</v>
      </c>
      <c r="C155">
        <v>1800000</v>
      </c>
      <c r="D155">
        <v>12000</v>
      </c>
    </row>
    <row r="156" spans="1:4" x14ac:dyDescent="0.25">
      <c r="A156" t="str">
        <f>T("   IN")</f>
        <v xml:space="preserve">   IN</v>
      </c>
      <c r="B156" t="str">
        <f>T("   Inde")</f>
        <v xml:space="preserve">   Inde</v>
      </c>
      <c r="C156">
        <v>131531615</v>
      </c>
      <c r="D156">
        <v>22374</v>
      </c>
    </row>
    <row r="157" spans="1:4" x14ac:dyDescent="0.25">
      <c r="A157" t="str">
        <f>T("   LR")</f>
        <v xml:space="preserve">   LR</v>
      </c>
      <c r="B157" t="str">
        <f>T("   Libéria")</f>
        <v xml:space="preserve">   Libéria</v>
      </c>
      <c r="C157">
        <v>486982479</v>
      </c>
      <c r="D157">
        <v>4165</v>
      </c>
    </row>
    <row r="158" spans="1:4" x14ac:dyDescent="0.25">
      <c r="A158" t="str">
        <f>T("   MG")</f>
        <v xml:space="preserve">   MG</v>
      </c>
      <c r="B158" t="str">
        <f>T("   Madagascar")</f>
        <v xml:space="preserve">   Madagascar</v>
      </c>
      <c r="C158">
        <v>43293162</v>
      </c>
      <c r="D158">
        <v>525</v>
      </c>
    </row>
    <row r="159" spans="1:4" x14ac:dyDescent="0.25">
      <c r="A159" t="str">
        <f>T("   SL")</f>
        <v xml:space="preserve">   SL</v>
      </c>
      <c r="B159" t="str">
        <f>T("   Sierra Leone")</f>
        <v xml:space="preserve">   Sierra Leone</v>
      </c>
      <c r="C159">
        <v>45261033</v>
      </c>
      <c r="D159">
        <v>392</v>
      </c>
    </row>
    <row r="160" spans="1:4" x14ac:dyDescent="0.25">
      <c r="A160" t="str">
        <f>T("   TH")</f>
        <v xml:space="preserve">   TH</v>
      </c>
      <c r="B160" t="str">
        <f>T("   Thaïlande")</f>
        <v xml:space="preserve">   Thaïlande</v>
      </c>
      <c r="C160">
        <v>102497273</v>
      </c>
      <c r="D160">
        <v>63742</v>
      </c>
    </row>
    <row r="161" spans="1:4" x14ac:dyDescent="0.25">
      <c r="A161" t="str">
        <f>T("   TK")</f>
        <v xml:space="preserve">   TK</v>
      </c>
      <c r="B161" t="str">
        <f>T("   Tokelau")</f>
        <v xml:space="preserve">   Tokelau</v>
      </c>
      <c r="C161">
        <v>20000</v>
      </c>
      <c r="D161">
        <v>1</v>
      </c>
    </row>
    <row r="162" spans="1:4" x14ac:dyDescent="0.25">
      <c r="A162" t="str">
        <f>T("120740")</f>
        <v>120740</v>
      </c>
      <c r="B162" t="str">
        <f>T("Graines de sésame, même concassées")</f>
        <v>Graines de sésame, même concassées</v>
      </c>
    </row>
    <row r="163" spans="1:4" x14ac:dyDescent="0.25">
      <c r="A163" t="str">
        <f>T("   ZZZ_Monde")</f>
        <v xml:space="preserve">   ZZZ_Monde</v>
      </c>
      <c r="B163" t="str">
        <f>T("   ZZZ_Monde")</f>
        <v xml:space="preserve">   ZZZ_Monde</v>
      </c>
      <c r="C163">
        <v>125172116</v>
      </c>
      <c r="D163">
        <v>226654</v>
      </c>
    </row>
    <row r="164" spans="1:4" x14ac:dyDescent="0.25">
      <c r="A164" t="str">
        <f>T("   CN")</f>
        <v xml:space="preserve">   CN</v>
      </c>
      <c r="B164" t="str">
        <f>T("   Chine")</f>
        <v xml:space="preserve">   Chine</v>
      </c>
      <c r="C164">
        <v>125172116</v>
      </c>
      <c r="D164">
        <v>226654</v>
      </c>
    </row>
    <row r="165" spans="1:4" x14ac:dyDescent="0.25">
      <c r="A165" t="str">
        <f>T("120799")</f>
        <v>120799</v>
      </c>
      <c r="B165"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166" spans="1:4" x14ac:dyDescent="0.25">
      <c r="A166" t="str">
        <f>T("   ZZZ_Monde")</f>
        <v xml:space="preserve">   ZZZ_Monde</v>
      </c>
      <c r="B166" t="str">
        <f>T("   ZZZ_Monde")</f>
        <v xml:space="preserve">   ZZZ_Monde</v>
      </c>
      <c r="C166">
        <v>300258875</v>
      </c>
      <c r="D166">
        <v>1367857</v>
      </c>
    </row>
    <row r="167" spans="1:4" x14ac:dyDescent="0.25">
      <c r="A167" t="str">
        <f>T("   FR")</f>
        <v xml:space="preserve">   FR</v>
      </c>
      <c r="B167" t="str">
        <f>T("   France")</f>
        <v xml:space="preserve">   France</v>
      </c>
      <c r="C167">
        <v>49795315</v>
      </c>
      <c r="D167">
        <v>159815</v>
      </c>
    </row>
    <row r="168" spans="1:4" x14ac:dyDescent="0.25">
      <c r="A168" t="str">
        <f>T("   IN")</f>
        <v xml:space="preserve">   IN</v>
      </c>
      <c r="B168" t="str">
        <f>T("   Inde")</f>
        <v xml:space="preserve">   Inde</v>
      </c>
      <c r="C168">
        <v>237463560</v>
      </c>
      <c r="D168">
        <v>1098042</v>
      </c>
    </row>
    <row r="169" spans="1:4" x14ac:dyDescent="0.25">
      <c r="A169" t="str">
        <f>T("   TG")</f>
        <v xml:space="preserve">   TG</v>
      </c>
      <c r="B169" t="str">
        <f>T("   Togo")</f>
        <v xml:space="preserve">   Togo</v>
      </c>
      <c r="C169">
        <v>3000000</v>
      </c>
      <c r="D169">
        <v>60000</v>
      </c>
    </row>
    <row r="170" spans="1:4" x14ac:dyDescent="0.25">
      <c r="A170" t="str">
        <f>T("   VN")</f>
        <v xml:space="preserve">   VN</v>
      </c>
      <c r="B170" t="str">
        <f>T("   Vietnam")</f>
        <v xml:space="preserve">   Vietnam</v>
      </c>
      <c r="C170">
        <v>10000000</v>
      </c>
      <c r="D170">
        <v>50000</v>
      </c>
    </row>
    <row r="171" spans="1:4" x14ac:dyDescent="0.25">
      <c r="A171" t="str">
        <f>T("121299")</f>
        <v>121299</v>
      </c>
      <c r="B171"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172" spans="1:4" x14ac:dyDescent="0.25">
      <c r="A172" t="str">
        <f>T("   ZZZ_Monde")</f>
        <v xml:space="preserve">   ZZZ_Monde</v>
      </c>
      <c r="B172" t="str">
        <f>T("   ZZZ_Monde")</f>
        <v xml:space="preserve">   ZZZ_Monde</v>
      </c>
      <c r="C172">
        <v>47070000</v>
      </c>
      <c r="D172">
        <v>169300</v>
      </c>
    </row>
    <row r="173" spans="1:4" x14ac:dyDescent="0.25">
      <c r="A173" t="str">
        <f>T("   ES")</f>
        <v xml:space="preserve">   ES</v>
      </c>
      <c r="B173" t="str">
        <f>T("   Espagne")</f>
        <v xml:space="preserve">   Espagne</v>
      </c>
      <c r="C173">
        <v>47070000</v>
      </c>
      <c r="D173">
        <v>169300</v>
      </c>
    </row>
    <row r="174" spans="1:4" x14ac:dyDescent="0.25">
      <c r="A174" t="str">
        <f>T("130120")</f>
        <v>130120</v>
      </c>
      <c r="B174" t="str">
        <f>T("Gomme arabique")</f>
        <v>Gomme arabique</v>
      </c>
    </row>
    <row r="175" spans="1:4" x14ac:dyDescent="0.25">
      <c r="A175" t="str">
        <f>T("   ZZZ_Monde")</f>
        <v xml:space="preserve">   ZZZ_Monde</v>
      </c>
      <c r="B175" t="str">
        <f>T("   ZZZ_Monde")</f>
        <v xml:space="preserve">   ZZZ_Monde</v>
      </c>
      <c r="C175">
        <v>4700000</v>
      </c>
      <c r="D175">
        <v>22000</v>
      </c>
    </row>
    <row r="176" spans="1:4" x14ac:dyDescent="0.25">
      <c r="A176" t="str">
        <f>T("   FR")</f>
        <v xml:space="preserve">   FR</v>
      </c>
      <c r="B176" t="str">
        <f>T("   France")</f>
        <v xml:space="preserve">   France</v>
      </c>
      <c r="C176">
        <v>4700000</v>
      </c>
      <c r="D176">
        <v>22000</v>
      </c>
    </row>
    <row r="177" spans="1:4" x14ac:dyDescent="0.25">
      <c r="A177" t="str">
        <f>T("130213")</f>
        <v>130213</v>
      </c>
      <c r="B177" t="str">
        <f>T("Extraits de houblon")</f>
        <v>Extraits de houblon</v>
      </c>
    </row>
    <row r="178" spans="1:4" x14ac:dyDescent="0.25">
      <c r="A178" t="str">
        <f>T("   ZZZ_Monde")</f>
        <v xml:space="preserve">   ZZZ_Monde</v>
      </c>
      <c r="B178" t="str">
        <f>T("   ZZZ_Monde")</f>
        <v xml:space="preserve">   ZZZ_Monde</v>
      </c>
      <c r="C178">
        <v>13457187</v>
      </c>
      <c r="D178">
        <v>795</v>
      </c>
    </row>
    <row r="179" spans="1:4" x14ac:dyDescent="0.25">
      <c r="A179" t="str">
        <f>T("   TG")</f>
        <v xml:space="preserve">   TG</v>
      </c>
      <c r="B179" t="str">
        <f>T("   Togo")</f>
        <v xml:space="preserve">   Togo</v>
      </c>
      <c r="C179">
        <v>13457187</v>
      </c>
      <c r="D179">
        <v>795</v>
      </c>
    </row>
    <row r="180" spans="1:4" x14ac:dyDescent="0.25">
      <c r="A180" t="str">
        <f>T("140420")</f>
        <v>140420</v>
      </c>
      <c r="B180" t="str">
        <f>T("Linters de coton")</f>
        <v>Linters de coton</v>
      </c>
    </row>
    <row r="181" spans="1:4" x14ac:dyDescent="0.25">
      <c r="A181" t="str">
        <f>T("   ZZZ_Monde")</f>
        <v xml:space="preserve">   ZZZ_Monde</v>
      </c>
      <c r="B181" t="str">
        <f>T("   ZZZ_Monde")</f>
        <v xml:space="preserve">   ZZZ_Monde</v>
      </c>
      <c r="C181">
        <v>508740253</v>
      </c>
      <c r="D181">
        <v>923493</v>
      </c>
    </row>
    <row r="182" spans="1:4" x14ac:dyDescent="0.25">
      <c r="A182" t="str">
        <f>T("   CN")</f>
        <v xml:space="preserve">   CN</v>
      </c>
      <c r="B182" t="str">
        <f>T("   Chine")</f>
        <v xml:space="preserve">   Chine</v>
      </c>
      <c r="C182">
        <v>508740253</v>
      </c>
      <c r="D182">
        <v>923493</v>
      </c>
    </row>
    <row r="183" spans="1:4" x14ac:dyDescent="0.25">
      <c r="A183" t="str">
        <f>T("151110")</f>
        <v>151110</v>
      </c>
      <c r="B183" t="str">
        <f>T("Huile de palme, brute")</f>
        <v>Huile de palme, brute</v>
      </c>
    </row>
    <row r="184" spans="1:4" x14ac:dyDescent="0.25">
      <c r="A184" t="str">
        <f>T("   ZZZ_Monde")</f>
        <v xml:space="preserve">   ZZZ_Monde</v>
      </c>
      <c r="B184" t="str">
        <f>T("   ZZZ_Monde")</f>
        <v xml:space="preserve">   ZZZ_Monde</v>
      </c>
      <c r="C184">
        <v>257830309</v>
      </c>
      <c r="D184">
        <v>394780</v>
      </c>
    </row>
    <row r="185" spans="1:4" x14ac:dyDescent="0.25">
      <c r="A185" t="str">
        <f>T("   IT")</f>
        <v xml:space="preserve">   IT</v>
      </c>
      <c r="B185" t="str">
        <f>T("   Italie")</f>
        <v xml:space="preserve">   Italie</v>
      </c>
      <c r="C185">
        <v>257710309</v>
      </c>
      <c r="D185">
        <v>394380</v>
      </c>
    </row>
    <row r="186" spans="1:4" x14ac:dyDescent="0.25">
      <c r="A186" t="str">
        <f>T("   SN")</f>
        <v xml:space="preserve">   SN</v>
      </c>
      <c r="B186" t="str">
        <f>T("   Sénégal")</f>
        <v xml:space="preserve">   Sénégal</v>
      </c>
      <c r="C186">
        <v>120000</v>
      </c>
      <c r="D186">
        <v>400</v>
      </c>
    </row>
    <row r="187" spans="1:4" x14ac:dyDescent="0.25">
      <c r="A187" t="str">
        <f>T("151190")</f>
        <v>151190</v>
      </c>
      <c r="B187" t="str">
        <f>T("Huile de palme et ses fractions, même raffinées, mais non chimiquement modifiées (à l'excl. de l'huile de palme brute)")</f>
        <v>Huile de palme et ses fractions, même raffinées, mais non chimiquement modifiées (à l'excl. de l'huile de palme brute)</v>
      </c>
    </row>
    <row r="188" spans="1:4" x14ac:dyDescent="0.25">
      <c r="A188" t="str">
        <f>T("   ZZZ_Monde")</f>
        <v xml:space="preserve">   ZZZ_Monde</v>
      </c>
      <c r="B188" t="str">
        <f>T("   ZZZ_Monde")</f>
        <v xml:space="preserve">   ZZZ_Monde</v>
      </c>
      <c r="C188">
        <v>701116068</v>
      </c>
      <c r="D188">
        <v>1030880</v>
      </c>
    </row>
    <row r="189" spans="1:4" x14ac:dyDescent="0.25">
      <c r="A189" t="str">
        <f>T("   MY")</f>
        <v xml:space="preserve">   MY</v>
      </c>
      <c r="B189" t="str">
        <f>T("   Malaisie")</f>
        <v xml:space="preserve">   Malaisie</v>
      </c>
      <c r="C189">
        <v>21428335</v>
      </c>
      <c r="D189">
        <v>40092</v>
      </c>
    </row>
    <row r="190" spans="1:4" x14ac:dyDescent="0.25">
      <c r="A190" t="str">
        <f>T("   NG")</f>
        <v xml:space="preserve">   NG</v>
      </c>
      <c r="B190" t="str">
        <f>T("   Nigéria")</f>
        <v xml:space="preserve">   Nigéria</v>
      </c>
      <c r="C190">
        <v>510609200</v>
      </c>
      <c r="D190">
        <v>709700</v>
      </c>
    </row>
    <row r="191" spans="1:4" x14ac:dyDescent="0.25">
      <c r="A191" t="str">
        <f>T("   NL")</f>
        <v xml:space="preserve">   NL</v>
      </c>
      <c r="B191" t="str">
        <f>T("   Pays-bas")</f>
        <v xml:space="preserve">   Pays-bas</v>
      </c>
      <c r="C191">
        <v>169078533</v>
      </c>
      <c r="D191">
        <v>281088</v>
      </c>
    </row>
    <row r="192" spans="1:4" x14ac:dyDescent="0.25">
      <c r="A192" t="str">
        <f>T("151219")</f>
        <v>151219</v>
      </c>
      <c r="B192"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93" spans="1:4" x14ac:dyDescent="0.25">
      <c r="A193" t="str">
        <f>T("   ZZZ_Monde")</f>
        <v xml:space="preserve">   ZZZ_Monde</v>
      </c>
      <c r="B193" t="str">
        <f>T("   ZZZ_Monde")</f>
        <v xml:space="preserve">   ZZZ_Monde</v>
      </c>
      <c r="C193">
        <v>47340500</v>
      </c>
      <c r="D193">
        <v>65980</v>
      </c>
    </row>
    <row r="194" spans="1:4" x14ac:dyDescent="0.25">
      <c r="A194" t="str">
        <f>T("   NG")</f>
        <v xml:space="preserve">   NG</v>
      </c>
      <c r="B194" t="str">
        <f>T("   Nigéria")</f>
        <v xml:space="preserve">   Nigéria</v>
      </c>
      <c r="C194">
        <v>47340500</v>
      </c>
      <c r="D194">
        <v>65980</v>
      </c>
    </row>
    <row r="195" spans="1:4" x14ac:dyDescent="0.25">
      <c r="A195" t="str">
        <f>T("151229")</f>
        <v>151229</v>
      </c>
      <c r="B195"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196" spans="1:4" x14ac:dyDescent="0.25">
      <c r="A196" t="str">
        <f>T("   ZZZ_Monde")</f>
        <v xml:space="preserve">   ZZZ_Monde</v>
      </c>
      <c r="B196" t="str">
        <f>T("   ZZZ_Monde")</f>
        <v xml:space="preserve">   ZZZ_Monde</v>
      </c>
      <c r="C196">
        <v>4247924447</v>
      </c>
      <c r="D196">
        <v>5815830</v>
      </c>
    </row>
    <row r="197" spans="1:4" x14ac:dyDescent="0.25">
      <c r="A197" t="str">
        <f>T("   NG")</f>
        <v xml:space="preserve">   NG</v>
      </c>
      <c r="B197" t="str">
        <f>T("   Nigéria")</f>
        <v xml:space="preserve">   Nigéria</v>
      </c>
      <c r="C197">
        <v>4235606240</v>
      </c>
      <c r="D197">
        <v>5796370</v>
      </c>
    </row>
    <row r="198" spans="1:4" x14ac:dyDescent="0.25">
      <c r="A198" t="str">
        <f>T("   NL")</f>
        <v xml:space="preserve">   NL</v>
      </c>
      <c r="B198" t="str">
        <f>T("   Pays-bas")</f>
        <v xml:space="preserve">   Pays-bas</v>
      </c>
      <c r="C198">
        <v>12318207</v>
      </c>
      <c r="D198">
        <v>19460</v>
      </c>
    </row>
    <row r="199" spans="1:4" x14ac:dyDescent="0.25">
      <c r="A199" t="str">
        <f>T("151590")</f>
        <v>151590</v>
      </c>
      <c r="B199"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200" spans="1:4" x14ac:dyDescent="0.25">
      <c r="A200" t="str">
        <f>T("   ZZZ_Monde")</f>
        <v xml:space="preserve">   ZZZ_Monde</v>
      </c>
      <c r="B200" t="str">
        <f>T("   ZZZ_Monde")</f>
        <v xml:space="preserve">   ZZZ_Monde</v>
      </c>
      <c r="C200">
        <v>1629115673</v>
      </c>
      <c r="D200">
        <v>3479547</v>
      </c>
    </row>
    <row r="201" spans="1:4" x14ac:dyDescent="0.25">
      <c r="A201" t="str">
        <f>T("   FR")</f>
        <v xml:space="preserve">   FR</v>
      </c>
      <c r="B201" t="str">
        <f>T("   France")</f>
        <v xml:space="preserve">   France</v>
      </c>
      <c r="C201">
        <v>10339897</v>
      </c>
      <c r="D201">
        <v>4225</v>
      </c>
    </row>
    <row r="202" spans="1:4" x14ac:dyDescent="0.25">
      <c r="A202" t="str">
        <f>T("   IN")</f>
        <v xml:space="preserve">   IN</v>
      </c>
      <c r="B202" t="str">
        <f>T("   Inde")</f>
        <v xml:space="preserve">   Inde</v>
      </c>
      <c r="C202">
        <v>1658072</v>
      </c>
      <c r="D202">
        <v>69194</v>
      </c>
    </row>
    <row r="203" spans="1:4" x14ac:dyDescent="0.25">
      <c r="A203" t="str">
        <f>T("   MY")</f>
        <v xml:space="preserve">   MY</v>
      </c>
      <c r="B203" t="str">
        <f>T("   Malaisie")</f>
        <v xml:space="preserve">   Malaisie</v>
      </c>
      <c r="C203">
        <v>1275815193</v>
      </c>
      <c r="D203">
        <v>2803820</v>
      </c>
    </row>
    <row r="204" spans="1:4" x14ac:dyDescent="0.25">
      <c r="A204" t="str">
        <f>T("   NL")</f>
        <v xml:space="preserve">   NL</v>
      </c>
      <c r="B204" t="str">
        <f>T("   Pays-bas")</f>
        <v xml:space="preserve">   Pays-bas</v>
      </c>
      <c r="C204">
        <v>329416548</v>
      </c>
      <c r="D204">
        <v>593656</v>
      </c>
    </row>
    <row r="205" spans="1:4" x14ac:dyDescent="0.25">
      <c r="A205" t="str">
        <f>T("   US")</f>
        <v xml:space="preserve">   US</v>
      </c>
      <c r="B205" t="str">
        <f>T("   Etats-Unis")</f>
        <v xml:space="preserve">   Etats-Unis</v>
      </c>
      <c r="C205">
        <v>11885963</v>
      </c>
      <c r="D205">
        <v>8652</v>
      </c>
    </row>
    <row r="206" spans="1:4" x14ac:dyDescent="0.25">
      <c r="A206" t="str">
        <f>T("151620")</f>
        <v>151620</v>
      </c>
      <c r="B206"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207" spans="1:4" x14ac:dyDescent="0.25">
      <c r="A207" t="str">
        <f>T("   ZZZ_Monde")</f>
        <v xml:space="preserve">   ZZZ_Monde</v>
      </c>
      <c r="B207" t="str">
        <f>T("   ZZZ_Monde")</f>
        <v xml:space="preserve">   ZZZ_Monde</v>
      </c>
      <c r="C207">
        <v>919560411</v>
      </c>
      <c r="D207">
        <v>1332818</v>
      </c>
    </row>
    <row r="208" spans="1:4" x14ac:dyDescent="0.25">
      <c r="A208" t="str">
        <f>T("   NG")</f>
        <v xml:space="preserve">   NG</v>
      </c>
      <c r="B208" t="str">
        <f>T("   Nigéria")</f>
        <v xml:space="preserve">   Nigéria</v>
      </c>
      <c r="C208">
        <v>919560411</v>
      </c>
      <c r="D208">
        <v>1332818</v>
      </c>
    </row>
    <row r="209" spans="1:4" x14ac:dyDescent="0.25">
      <c r="A209" t="str">
        <f>T("151790")</f>
        <v>151790</v>
      </c>
      <c r="B209"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210" spans="1:4" x14ac:dyDescent="0.25">
      <c r="A210" t="str">
        <f>T("   ZZZ_Monde")</f>
        <v xml:space="preserve">   ZZZ_Monde</v>
      </c>
      <c r="B210" t="str">
        <f>T("   ZZZ_Monde")</f>
        <v xml:space="preserve">   ZZZ_Monde</v>
      </c>
      <c r="C210">
        <v>46046052</v>
      </c>
      <c r="D210">
        <v>106020</v>
      </c>
    </row>
    <row r="211" spans="1:4" x14ac:dyDescent="0.25">
      <c r="A211" t="str">
        <f>T("   DE")</f>
        <v xml:space="preserve">   DE</v>
      </c>
      <c r="B211" t="str">
        <f>T("   Allemagne")</f>
        <v xml:space="preserve">   Allemagne</v>
      </c>
      <c r="C211">
        <v>45566052</v>
      </c>
      <c r="D211">
        <v>105620</v>
      </c>
    </row>
    <row r="212" spans="1:4" x14ac:dyDescent="0.25">
      <c r="A212" t="str">
        <f>T("   JP")</f>
        <v xml:space="preserve">   JP</v>
      </c>
      <c r="B212" t="str">
        <f>T("   Japon")</f>
        <v xml:space="preserve">   Japon</v>
      </c>
      <c r="C212">
        <v>480000</v>
      </c>
      <c r="D212">
        <v>400</v>
      </c>
    </row>
    <row r="213" spans="1:4" x14ac:dyDescent="0.25">
      <c r="A213" t="str">
        <f>T("160420")</f>
        <v>160420</v>
      </c>
      <c r="B213" t="str">
        <f>T("Préparations et conserves de poissons (à l'excl. des préparations et conserves de poissons entiers ou en morceaux)")</f>
        <v>Préparations et conserves de poissons (à l'excl. des préparations et conserves de poissons entiers ou en morceaux)</v>
      </c>
    </row>
    <row r="214" spans="1:4" x14ac:dyDescent="0.25">
      <c r="A214" t="str">
        <f>T("   ZZZ_Monde")</f>
        <v xml:space="preserve">   ZZZ_Monde</v>
      </c>
      <c r="B214" t="str">
        <f>T("   ZZZ_Monde")</f>
        <v xml:space="preserve">   ZZZ_Monde</v>
      </c>
      <c r="C214">
        <v>1678601</v>
      </c>
      <c r="D214">
        <v>27625</v>
      </c>
    </row>
    <row r="215" spans="1:4" x14ac:dyDescent="0.25">
      <c r="A215" t="str">
        <f>T("   CG")</f>
        <v xml:space="preserve">   CG</v>
      </c>
      <c r="B215" t="str">
        <f>T("   Congo (Brazzaville)")</f>
        <v xml:space="preserve">   Congo (Brazzaville)</v>
      </c>
      <c r="C215">
        <v>1678601</v>
      </c>
      <c r="D215">
        <v>27625</v>
      </c>
    </row>
    <row r="216" spans="1:4" x14ac:dyDescent="0.25">
      <c r="A216" t="str">
        <f>T("170191")</f>
        <v>170191</v>
      </c>
      <c r="B216" t="str">
        <f>T("Sucres de canne ou de betterave, à l'état solide, additionnés d'aromatisants ou de colorants")</f>
        <v>Sucres de canne ou de betterave, à l'état solide, additionnés d'aromatisants ou de colorants</v>
      </c>
    </row>
    <row r="217" spans="1:4" x14ac:dyDescent="0.25">
      <c r="A217" t="str">
        <f>T("   ZZZ_Monde")</f>
        <v xml:space="preserve">   ZZZ_Monde</v>
      </c>
      <c r="B217" t="str">
        <f>T("   ZZZ_Monde")</f>
        <v xml:space="preserve">   ZZZ_Monde</v>
      </c>
      <c r="C217">
        <v>2388925217</v>
      </c>
      <c r="D217">
        <v>6488573</v>
      </c>
    </row>
    <row r="218" spans="1:4" x14ac:dyDescent="0.25">
      <c r="A218" t="str">
        <f>T("   ES")</f>
        <v xml:space="preserve">   ES</v>
      </c>
      <c r="B218" t="str">
        <f>T("   Espagne")</f>
        <v xml:space="preserve">   Espagne</v>
      </c>
      <c r="C218">
        <v>2016098165</v>
      </c>
      <c r="D218">
        <v>5483573</v>
      </c>
    </row>
    <row r="219" spans="1:4" x14ac:dyDescent="0.25">
      <c r="A219" t="str">
        <f>T("   IT")</f>
        <v xml:space="preserve">   IT</v>
      </c>
      <c r="B219" t="str">
        <f>T("   Italie")</f>
        <v xml:space="preserve">   Italie</v>
      </c>
      <c r="C219">
        <v>372827052</v>
      </c>
      <c r="D219">
        <v>1005000</v>
      </c>
    </row>
    <row r="220" spans="1:4" x14ac:dyDescent="0.25">
      <c r="A220" t="str">
        <f>T("170199")</f>
        <v>170199</v>
      </c>
      <c r="B220"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221" spans="1:4" x14ac:dyDescent="0.25">
      <c r="A221" t="str">
        <f>T("   ZZZ_Monde")</f>
        <v xml:space="preserve">   ZZZ_Monde</v>
      </c>
      <c r="B221" t="str">
        <f>T("   ZZZ_Monde")</f>
        <v xml:space="preserve">   ZZZ_Monde</v>
      </c>
      <c r="C221">
        <v>719025250</v>
      </c>
      <c r="D221">
        <v>2000000</v>
      </c>
    </row>
    <row r="222" spans="1:4" x14ac:dyDescent="0.25">
      <c r="A222" t="str">
        <f>T("   IT")</f>
        <v xml:space="preserve">   IT</v>
      </c>
      <c r="B222" t="str">
        <f>T("   Italie")</f>
        <v xml:space="preserve">   Italie</v>
      </c>
      <c r="C222">
        <v>719025250</v>
      </c>
      <c r="D222">
        <v>2000000</v>
      </c>
    </row>
    <row r="223" spans="1:4" x14ac:dyDescent="0.25">
      <c r="A223" t="str">
        <f>T("190110")</f>
        <v>190110</v>
      </c>
      <c r="B223" t="str">
        <f>T("Préparations alimentaires de farines, gruaux, semoules, amidons, fécules ou extraits de malt, ne contenant pas de cacao ou contenant &lt; 40% en poids de cacao calculés sur une base entièrement dégraissée, n.d.a.; préparations alimentaires à base de lait, de")</f>
        <v>Préparations alimentaires de farines, gruaux, semoules, amidons, fécules ou extraits de malt, ne contenant pas de cacao ou contenant &lt; 40% en poids de cacao calculés sur une base entièrement dégraissée, n.d.a.; préparations alimentaires à base de lait, de</v>
      </c>
    </row>
    <row r="224" spans="1:4" x14ac:dyDescent="0.25">
      <c r="A224" t="str">
        <f>T("   ZZZ_Monde")</f>
        <v xml:space="preserve">   ZZZ_Monde</v>
      </c>
      <c r="B224" t="str">
        <f>T("   ZZZ_Monde")</f>
        <v xml:space="preserve">   ZZZ_Monde</v>
      </c>
      <c r="C224">
        <v>840000</v>
      </c>
      <c r="D224">
        <v>700</v>
      </c>
    </row>
    <row r="225" spans="1:4" x14ac:dyDescent="0.25">
      <c r="A225" t="str">
        <f>T("   TG")</f>
        <v xml:space="preserve">   TG</v>
      </c>
      <c r="B225" t="str">
        <f>T("   Togo")</f>
        <v xml:space="preserve">   Togo</v>
      </c>
      <c r="C225">
        <v>840000</v>
      </c>
      <c r="D225">
        <v>700</v>
      </c>
    </row>
    <row r="226" spans="1:4" x14ac:dyDescent="0.25">
      <c r="A226" t="str">
        <f>T("190230")</f>
        <v>190230</v>
      </c>
      <c r="B226" t="str">
        <f>T("Pâtes alimentaires, cuites ou autrement préparées (à l'excl. des pâtes alimentaires farcies)")</f>
        <v>Pâtes alimentaires, cuites ou autrement préparées (à l'excl. des pâtes alimentaires farcies)</v>
      </c>
    </row>
    <row r="227" spans="1:4" x14ac:dyDescent="0.25">
      <c r="A227" t="str">
        <f>T("   ZZZ_Monde")</f>
        <v xml:space="preserve">   ZZZ_Monde</v>
      </c>
      <c r="B227" t="str">
        <f>T("   ZZZ_Monde")</f>
        <v xml:space="preserve">   ZZZ_Monde</v>
      </c>
      <c r="C227">
        <v>183750000</v>
      </c>
      <c r="D227">
        <v>440000</v>
      </c>
    </row>
    <row r="228" spans="1:4" x14ac:dyDescent="0.25">
      <c r="A228" t="str">
        <f>T("   NE")</f>
        <v xml:space="preserve">   NE</v>
      </c>
      <c r="B228" t="str">
        <f>T("   Niger")</f>
        <v xml:space="preserve">   Niger</v>
      </c>
      <c r="C228">
        <v>69750000</v>
      </c>
      <c r="D228">
        <v>180000</v>
      </c>
    </row>
    <row r="229" spans="1:4" x14ac:dyDescent="0.25">
      <c r="A229" t="str">
        <f>T("   NG")</f>
        <v xml:space="preserve">   NG</v>
      </c>
      <c r="B229" t="str">
        <f>T("   Nigéria")</f>
        <v xml:space="preserve">   Nigéria</v>
      </c>
      <c r="C229">
        <v>42000000</v>
      </c>
      <c r="D229">
        <v>80000</v>
      </c>
    </row>
    <row r="230" spans="1:4" x14ac:dyDescent="0.25">
      <c r="A230" t="str">
        <f>T("   TG")</f>
        <v xml:space="preserve">   TG</v>
      </c>
      <c r="B230" t="str">
        <f>T("   Togo")</f>
        <v xml:space="preserve">   Togo</v>
      </c>
      <c r="C230">
        <v>72000000</v>
      </c>
      <c r="D230">
        <v>180000</v>
      </c>
    </row>
    <row r="231" spans="1:4" x14ac:dyDescent="0.25">
      <c r="A231" t="str">
        <f>T("190590")</f>
        <v>190590</v>
      </c>
      <c r="B231"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232" spans="1:4" x14ac:dyDescent="0.25">
      <c r="A232" t="str">
        <f>T("   ZZZ_Monde")</f>
        <v xml:space="preserve">   ZZZ_Monde</v>
      </c>
      <c r="B232" t="str">
        <f>T("   ZZZ_Monde")</f>
        <v xml:space="preserve">   ZZZ_Monde</v>
      </c>
      <c r="C232">
        <v>6160000</v>
      </c>
      <c r="D232">
        <v>4145</v>
      </c>
    </row>
    <row r="233" spans="1:4" x14ac:dyDescent="0.25">
      <c r="A233" t="str">
        <f>T("   TG")</f>
        <v xml:space="preserve">   TG</v>
      </c>
      <c r="B233" t="str">
        <f>T("   Togo")</f>
        <v xml:space="preserve">   Togo</v>
      </c>
      <c r="C233">
        <v>6160000</v>
      </c>
      <c r="D233">
        <v>4145</v>
      </c>
    </row>
    <row r="234" spans="1:4" x14ac:dyDescent="0.25">
      <c r="A234" t="str">
        <f>T("200600")</f>
        <v>200600</v>
      </c>
      <c r="B234" t="str">
        <f>T("Légumes, fruits, écorces de fruits et autres parties de plantes, confits au sucre [égouttés, glacés ou cristallisés]")</f>
        <v>Légumes, fruits, écorces de fruits et autres parties de plantes, confits au sucre [égouttés, glacés ou cristallisés]</v>
      </c>
    </row>
    <row r="235" spans="1:4" x14ac:dyDescent="0.25">
      <c r="A235" t="str">
        <f>T("   ZZZ_Monde")</f>
        <v xml:space="preserve">   ZZZ_Monde</v>
      </c>
      <c r="B235" t="str">
        <f>T("   ZZZ_Monde")</f>
        <v xml:space="preserve">   ZZZ_Monde</v>
      </c>
      <c r="C235">
        <v>300000</v>
      </c>
      <c r="D235">
        <v>3700</v>
      </c>
    </row>
    <row r="236" spans="1:4" x14ac:dyDescent="0.25">
      <c r="A236" t="str">
        <f>T("   GA")</f>
        <v xml:space="preserve">   GA</v>
      </c>
      <c r="B236" t="str">
        <f>T("   Gabon")</f>
        <v xml:space="preserve">   Gabon</v>
      </c>
      <c r="C236">
        <v>300000</v>
      </c>
      <c r="D236">
        <v>3700</v>
      </c>
    </row>
    <row r="237" spans="1:4" x14ac:dyDescent="0.25">
      <c r="A237" t="str">
        <f>T("200939")</f>
        <v>200939</v>
      </c>
      <c r="B237"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238" spans="1:4" x14ac:dyDescent="0.25">
      <c r="A238" t="str">
        <f>T("   ZZZ_Monde")</f>
        <v xml:space="preserve">   ZZZ_Monde</v>
      </c>
      <c r="B238" t="str">
        <f>T("   ZZZ_Monde")</f>
        <v xml:space="preserve">   ZZZ_Monde</v>
      </c>
      <c r="C238">
        <v>3792800</v>
      </c>
      <c r="D238">
        <v>18930</v>
      </c>
    </row>
    <row r="239" spans="1:4" x14ac:dyDescent="0.25">
      <c r="A239" t="str">
        <f>T("   BF")</f>
        <v xml:space="preserve">   BF</v>
      </c>
      <c r="B239" t="str">
        <f>T("   Burkina Faso")</f>
        <v xml:space="preserve">   Burkina Faso</v>
      </c>
      <c r="C239">
        <v>2300000</v>
      </c>
      <c r="D239">
        <v>5600</v>
      </c>
    </row>
    <row r="240" spans="1:4" x14ac:dyDescent="0.25">
      <c r="A240" t="str">
        <f>T("   SN")</f>
        <v xml:space="preserve">   SN</v>
      </c>
      <c r="B240" t="str">
        <f>T("   Sénégal")</f>
        <v xml:space="preserve">   Sénégal</v>
      </c>
      <c r="C240">
        <v>1492800</v>
      </c>
      <c r="D240">
        <v>13330</v>
      </c>
    </row>
    <row r="241" spans="1:4" x14ac:dyDescent="0.25">
      <c r="A241" t="str">
        <f>T("200941")</f>
        <v>200941</v>
      </c>
      <c r="B241"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242" spans="1:4" x14ac:dyDescent="0.25">
      <c r="A242" t="str">
        <f>T("   ZZZ_Monde")</f>
        <v xml:space="preserve">   ZZZ_Monde</v>
      </c>
      <c r="B242" t="str">
        <f>T("   ZZZ_Monde")</f>
        <v xml:space="preserve">   ZZZ_Monde</v>
      </c>
      <c r="C242">
        <v>1200000</v>
      </c>
      <c r="D242">
        <v>11000</v>
      </c>
    </row>
    <row r="243" spans="1:4" x14ac:dyDescent="0.25">
      <c r="A243" t="str">
        <f>T("   BF")</f>
        <v xml:space="preserve">   BF</v>
      </c>
      <c r="B243" t="str">
        <f>T("   Burkina Faso")</f>
        <v xml:space="preserve">   Burkina Faso</v>
      </c>
      <c r="C243">
        <v>1200000</v>
      </c>
      <c r="D243">
        <v>11000</v>
      </c>
    </row>
    <row r="244" spans="1:4" x14ac:dyDescent="0.25">
      <c r="A244" t="str">
        <f>T("200949")</f>
        <v>200949</v>
      </c>
      <c r="B244"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245" spans="1:4" x14ac:dyDescent="0.25">
      <c r="A245" t="str">
        <f>T("   ZZZ_Monde")</f>
        <v xml:space="preserve">   ZZZ_Monde</v>
      </c>
      <c r="B245" t="str">
        <f>T("   ZZZ_Monde")</f>
        <v xml:space="preserve">   ZZZ_Monde</v>
      </c>
      <c r="C245">
        <v>51306335</v>
      </c>
      <c r="D245">
        <v>287316</v>
      </c>
    </row>
    <row r="246" spans="1:4" x14ac:dyDescent="0.25">
      <c r="A246" t="str">
        <f>T("   BF")</f>
        <v xml:space="preserve">   BF</v>
      </c>
      <c r="B246" t="str">
        <f>T("   Burkina Faso")</f>
        <v xml:space="preserve">   Burkina Faso</v>
      </c>
      <c r="C246">
        <v>20776335</v>
      </c>
      <c r="D246">
        <v>171516</v>
      </c>
    </row>
    <row r="247" spans="1:4" x14ac:dyDescent="0.25">
      <c r="A247" t="str">
        <f>T("   ML")</f>
        <v xml:space="preserve">   ML</v>
      </c>
      <c r="B247" t="str">
        <f>T("   Mali")</f>
        <v xml:space="preserve">   Mali</v>
      </c>
      <c r="C247">
        <v>19400000</v>
      </c>
      <c r="D247">
        <v>59500</v>
      </c>
    </row>
    <row r="248" spans="1:4" x14ac:dyDescent="0.25">
      <c r="A248" t="str">
        <f>T("   NE")</f>
        <v xml:space="preserve">   NE</v>
      </c>
      <c r="B248" t="str">
        <f>T("   Niger")</f>
        <v xml:space="preserve">   Niger</v>
      </c>
      <c r="C248">
        <v>11130000</v>
      </c>
      <c r="D248">
        <v>56300</v>
      </c>
    </row>
    <row r="249" spans="1:4" x14ac:dyDescent="0.25">
      <c r="A249" t="str">
        <f>T("200980")</f>
        <v>200980</v>
      </c>
      <c r="B249"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250" spans="1:4" x14ac:dyDescent="0.25">
      <c r="A250" t="str">
        <f>T("   ZZZ_Monde")</f>
        <v xml:space="preserve">   ZZZ_Monde</v>
      </c>
      <c r="B250" t="str">
        <f>T("   ZZZ_Monde")</f>
        <v xml:space="preserve">   ZZZ_Monde</v>
      </c>
      <c r="C250">
        <v>2126013</v>
      </c>
      <c r="D250">
        <v>10752</v>
      </c>
    </row>
    <row r="251" spans="1:4" x14ac:dyDescent="0.25">
      <c r="A251" t="str">
        <f>T("   LY")</f>
        <v xml:space="preserve">   LY</v>
      </c>
      <c r="B251" t="str">
        <f>T("   Libyenne, Jamahiriya Arabe")</f>
        <v xml:space="preserve">   Libyenne, Jamahiriya Arabe</v>
      </c>
      <c r="C251">
        <v>2126013</v>
      </c>
      <c r="D251">
        <v>10752</v>
      </c>
    </row>
    <row r="252" spans="1:4" x14ac:dyDescent="0.25">
      <c r="A252" t="str">
        <f>T("210690")</f>
        <v>210690</v>
      </c>
      <c r="B252" t="str">
        <f>T("Préparations alimentaires, n.d.a.")</f>
        <v>Préparations alimentaires, n.d.a.</v>
      </c>
    </row>
    <row r="253" spans="1:4" x14ac:dyDescent="0.25">
      <c r="A253" t="str">
        <f>T("   ZZZ_Monde")</f>
        <v xml:space="preserve">   ZZZ_Monde</v>
      </c>
      <c r="B253" t="str">
        <f>T("   ZZZ_Monde")</f>
        <v xml:space="preserve">   ZZZ_Monde</v>
      </c>
      <c r="C253">
        <v>61910663</v>
      </c>
      <c r="D253">
        <v>16942</v>
      </c>
    </row>
    <row r="254" spans="1:4" x14ac:dyDescent="0.25">
      <c r="A254" t="str">
        <f>T("   GH")</f>
        <v xml:space="preserve">   GH</v>
      </c>
      <c r="B254" t="str">
        <f>T("   Ghana")</f>
        <v xml:space="preserve">   Ghana</v>
      </c>
      <c r="C254">
        <v>8020641</v>
      </c>
      <c r="D254">
        <v>630</v>
      </c>
    </row>
    <row r="255" spans="1:4" x14ac:dyDescent="0.25">
      <c r="A255" t="str">
        <f>T("   SN")</f>
        <v xml:space="preserve">   SN</v>
      </c>
      <c r="B255" t="str">
        <f>T("   Sénégal")</f>
        <v xml:space="preserve">   Sénégal</v>
      </c>
      <c r="C255">
        <v>48800000</v>
      </c>
      <c r="D255">
        <v>16000</v>
      </c>
    </row>
    <row r="256" spans="1:4" x14ac:dyDescent="0.25">
      <c r="A256" t="str">
        <f>T("   TG")</f>
        <v xml:space="preserve">   TG</v>
      </c>
      <c r="B256" t="str">
        <f>T("   Togo")</f>
        <v xml:space="preserve">   Togo</v>
      </c>
      <c r="C256">
        <v>5090022</v>
      </c>
      <c r="D256">
        <v>312</v>
      </c>
    </row>
    <row r="257" spans="1:4" x14ac:dyDescent="0.25">
      <c r="A257" t="str">
        <f>T("220110")</f>
        <v>220110</v>
      </c>
      <c r="B257" t="str">
        <f>T("Eaux minérales et eaux gazéifiées, non additionnées de sucre ou d'autres édulcorants ni aromatisées")</f>
        <v>Eaux minérales et eaux gazéifiées, non additionnées de sucre ou d'autres édulcorants ni aromatisées</v>
      </c>
    </row>
    <row r="258" spans="1:4" x14ac:dyDescent="0.25">
      <c r="A258" t="str">
        <f>T("   ZZZ_Monde")</f>
        <v xml:space="preserve">   ZZZ_Monde</v>
      </c>
      <c r="B258" t="str">
        <f>T("   ZZZ_Monde")</f>
        <v xml:space="preserve">   ZZZ_Monde</v>
      </c>
      <c r="C258">
        <v>58141717</v>
      </c>
      <c r="D258">
        <v>324174</v>
      </c>
    </row>
    <row r="259" spans="1:4" x14ac:dyDescent="0.25">
      <c r="A259" t="str">
        <f>T("   NE")</f>
        <v xml:space="preserve">   NE</v>
      </c>
      <c r="B259" t="str">
        <f>T("   Niger")</f>
        <v xml:space="preserve">   Niger</v>
      </c>
      <c r="C259">
        <v>10495000</v>
      </c>
      <c r="D259">
        <v>82600</v>
      </c>
    </row>
    <row r="260" spans="1:4" x14ac:dyDescent="0.25">
      <c r="A260" t="str">
        <f>T("   TG")</f>
        <v xml:space="preserve">   TG</v>
      </c>
      <c r="B260" t="str">
        <f>T("   Togo")</f>
        <v xml:space="preserve">   Togo</v>
      </c>
      <c r="C260">
        <v>47646717</v>
      </c>
      <c r="D260">
        <v>241574</v>
      </c>
    </row>
    <row r="261" spans="1:4" x14ac:dyDescent="0.25">
      <c r="A261" t="str">
        <f>T("220190")</f>
        <v>220190</v>
      </c>
      <c r="B261" t="str">
        <f>T("Eaux, non additionnées de sucre ou d'autres édulcorants ni aromatisées (à l'excl. des eaux minérales, des eaux gazéifiées, de l'eau de mer ainsi que des eaux distillées, de conductibilité ou de même degré de pureté); glace et neige")</f>
        <v>Eaux, non additionnées de sucre ou d'autres édulcorants ni aromatisées (à l'excl. des eaux minérales, des eaux gazéifiées, de l'eau de mer ainsi que des eaux distillées, de conductibilité ou de même degré de pureté); glace et neige</v>
      </c>
    </row>
    <row r="262" spans="1:4" x14ac:dyDescent="0.25">
      <c r="A262" t="str">
        <f>T("   ZZZ_Monde")</f>
        <v xml:space="preserve">   ZZZ_Monde</v>
      </c>
      <c r="B262" t="str">
        <f>T("   ZZZ_Monde")</f>
        <v xml:space="preserve">   ZZZ_Monde</v>
      </c>
      <c r="C262">
        <v>3187000</v>
      </c>
      <c r="D262">
        <v>22000</v>
      </c>
    </row>
    <row r="263" spans="1:4" x14ac:dyDescent="0.25">
      <c r="A263" t="str">
        <f>T("   TG")</f>
        <v xml:space="preserve">   TG</v>
      </c>
      <c r="B263" t="str">
        <f>T("   Togo")</f>
        <v xml:space="preserve">   Togo</v>
      </c>
      <c r="C263">
        <v>3187000</v>
      </c>
      <c r="D263">
        <v>22000</v>
      </c>
    </row>
    <row r="264" spans="1:4" x14ac:dyDescent="0.25">
      <c r="A264" t="str">
        <f>T("220210")</f>
        <v>220210</v>
      </c>
      <c r="B264"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265" spans="1:4" x14ac:dyDescent="0.25">
      <c r="A265" t="str">
        <f>T("   ZZZ_Monde")</f>
        <v xml:space="preserve">   ZZZ_Monde</v>
      </c>
      <c r="B265" t="str">
        <f>T("   ZZZ_Monde")</f>
        <v xml:space="preserve">   ZZZ_Monde</v>
      </c>
      <c r="C265">
        <v>31089808</v>
      </c>
      <c r="D265">
        <v>78795</v>
      </c>
    </row>
    <row r="266" spans="1:4" x14ac:dyDescent="0.25">
      <c r="A266" t="str">
        <f>T("   TG")</f>
        <v xml:space="preserve">   TG</v>
      </c>
      <c r="B266" t="str">
        <f>T("   Togo")</f>
        <v xml:space="preserve">   Togo</v>
      </c>
      <c r="C266">
        <v>31089808</v>
      </c>
      <c r="D266">
        <v>78795</v>
      </c>
    </row>
    <row r="267" spans="1:4" x14ac:dyDescent="0.25">
      <c r="A267" t="str">
        <f>T("220600")</f>
        <v>220600</v>
      </c>
      <c r="B267"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68" spans="1:4" x14ac:dyDescent="0.25">
      <c r="A268" t="str">
        <f>T("   ZZZ_Monde")</f>
        <v xml:space="preserve">   ZZZ_Monde</v>
      </c>
      <c r="B268" t="str">
        <f>T("   ZZZ_Monde")</f>
        <v xml:space="preserve">   ZZZ_Monde</v>
      </c>
      <c r="C268">
        <v>1450000</v>
      </c>
      <c r="D268">
        <v>19800</v>
      </c>
    </row>
    <row r="269" spans="1:4" x14ac:dyDescent="0.25">
      <c r="A269" t="str">
        <f>T("   GA")</f>
        <v xml:space="preserve">   GA</v>
      </c>
      <c r="B269" t="str">
        <f>T("   Gabon")</f>
        <v xml:space="preserve">   Gabon</v>
      </c>
      <c r="C269">
        <v>1450000</v>
      </c>
      <c r="D269">
        <v>19800</v>
      </c>
    </row>
    <row r="270" spans="1:4" x14ac:dyDescent="0.25">
      <c r="A270" t="str">
        <f>T("220720")</f>
        <v>220720</v>
      </c>
      <c r="B270" t="str">
        <f>T("Alcool éthylique et eaux-de-vie dénaturés de tous titres")</f>
        <v>Alcool éthylique et eaux-de-vie dénaturés de tous titres</v>
      </c>
    </row>
    <row r="271" spans="1:4" x14ac:dyDescent="0.25">
      <c r="A271" t="str">
        <f>T("   ZZZ_Monde")</f>
        <v xml:space="preserve">   ZZZ_Monde</v>
      </c>
      <c r="B271" t="str">
        <f>T("   ZZZ_Monde")</f>
        <v xml:space="preserve">   ZZZ_Monde</v>
      </c>
      <c r="C271">
        <v>2160000</v>
      </c>
      <c r="D271">
        <v>4800</v>
      </c>
    </row>
    <row r="272" spans="1:4" x14ac:dyDescent="0.25">
      <c r="A272" t="str">
        <f>T("   GA")</f>
        <v xml:space="preserve">   GA</v>
      </c>
      <c r="B272" t="str">
        <f>T("   Gabon")</f>
        <v xml:space="preserve">   Gabon</v>
      </c>
      <c r="C272">
        <v>2160000</v>
      </c>
      <c r="D272">
        <v>4800</v>
      </c>
    </row>
    <row r="273" spans="1:4" x14ac:dyDescent="0.25">
      <c r="A273" t="str">
        <f>T("220870")</f>
        <v>220870</v>
      </c>
      <c r="B273" t="str">
        <f>T("LIQUEURS")</f>
        <v>LIQUEURS</v>
      </c>
    </row>
    <row r="274" spans="1:4" x14ac:dyDescent="0.25">
      <c r="A274" t="str">
        <f>T("   ZZZ_Monde")</f>
        <v xml:space="preserve">   ZZZ_Monde</v>
      </c>
      <c r="B274" t="str">
        <f>T("   ZZZ_Monde")</f>
        <v xml:space="preserve">   ZZZ_Monde</v>
      </c>
      <c r="C274">
        <v>5695000</v>
      </c>
      <c r="D274">
        <v>28160</v>
      </c>
    </row>
    <row r="275" spans="1:4" x14ac:dyDescent="0.25">
      <c r="A275" t="str">
        <f>T("   NE")</f>
        <v xml:space="preserve">   NE</v>
      </c>
      <c r="B275" t="str">
        <f>T("   Niger")</f>
        <v xml:space="preserve">   Niger</v>
      </c>
      <c r="C275">
        <v>5695000</v>
      </c>
      <c r="D275">
        <v>28160</v>
      </c>
    </row>
    <row r="276" spans="1:4" x14ac:dyDescent="0.25">
      <c r="A276" t="str">
        <f>T("220890")</f>
        <v>220890</v>
      </c>
      <c r="B276"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77" spans="1:4" x14ac:dyDescent="0.25">
      <c r="A277" t="str">
        <f>T("   ZZZ_Monde")</f>
        <v xml:space="preserve">   ZZZ_Monde</v>
      </c>
      <c r="B277" t="str">
        <f>T("   ZZZ_Monde")</f>
        <v xml:space="preserve">   ZZZ_Monde</v>
      </c>
      <c r="C277">
        <v>150000</v>
      </c>
      <c r="D277">
        <v>6400</v>
      </c>
    </row>
    <row r="278" spans="1:4" x14ac:dyDescent="0.25">
      <c r="A278" t="str">
        <f>T("   GA")</f>
        <v xml:space="preserve">   GA</v>
      </c>
      <c r="B278" t="str">
        <f>T("   Gabon")</f>
        <v xml:space="preserve">   Gabon</v>
      </c>
      <c r="C278">
        <v>150000</v>
      </c>
      <c r="D278">
        <v>6400</v>
      </c>
    </row>
    <row r="279" spans="1:4" x14ac:dyDescent="0.25">
      <c r="A279" t="str">
        <f>T("230230")</f>
        <v>230230</v>
      </c>
      <c r="B279"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280" spans="1:4" x14ac:dyDescent="0.25">
      <c r="A280" t="str">
        <f>T("   ZZZ_Monde")</f>
        <v xml:space="preserve">   ZZZ_Monde</v>
      </c>
      <c r="B280" t="str">
        <f>T("   ZZZ_Monde")</f>
        <v xml:space="preserve">   ZZZ_Monde</v>
      </c>
      <c r="C280">
        <v>150740000</v>
      </c>
      <c r="D280">
        <v>1770000</v>
      </c>
    </row>
    <row r="281" spans="1:4" x14ac:dyDescent="0.25">
      <c r="A281" t="str">
        <f>T("   BF")</f>
        <v xml:space="preserve">   BF</v>
      </c>
      <c r="B281" t="str">
        <f>T("   Burkina Faso")</f>
        <v xml:space="preserve">   Burkina Faso</v>
      </c>
      <c r="C281">
        <v>1200000</v>
      </c>
      <c r="D281">
        <v>20000</v>
      </c>
    </row>
    <row r="282" spans="1:4" x14ac:dyDescent="0.25">
      <c r="A282" t="str">
        <f>T("   NE")</f>
        <v xml:space="preserve">   NE</v>
      </c>
      <c r="B282" t="str">
        <f>T("   Niger")</f>
        <v xml:space="preserve">   Niger</v>
      </c>
      <c r="C282">
        <v>149540000</v>
      </c>
      <c r="D282">
        <v>1750000</v>
      </c>
    </row>
    <row r="283" spans="1:4" x14ac:dyDescent="0.25">
      <c r="A283" t="str">
        <f>T("230240")</f>
        <v>230240</v>
      </c>
      <c r="B283"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84" spans="1:4" x14ac:dyDescent="0.25">
      <c r="A284" t="str">
        <f>T("   ZZZ_Monde")</f>
        <v xml:space="preserve">   ZZZ_Monde</v>
      </c>
      <c r="B284" t="str">
        <f>T("   ZZZ_Monde")</f>
        <v xml:space="preserve">   ZZZ_Monde</v>
      </c>
      <c r="C284">
        <v>2200000</v>
      </c>
      <c r="D284">
        <v>38500</v>
      </c>
    </row>
    <row r="285" spans="1:4" x14ac:dyDescent="0.25">
      <c r="A285" t="str">
        <f>T("   BF")</f>
        <v xml:space="preserve">   BF</v>
      </c>
      <c r="B285" t="str">
        <f>T("   Burkina Faso")</f>
        <v xml:space="preserve">   Burkina Faso</v>
      </c>
      <c r="C285">
        <v>1250000</v>
      </c>
      <c r="D285">
        <v>25000</v>
      </c>
    </row>
    <row r="286" spans="1:4" x14ac:dyDescent="0.25">
      <c r="A286" t="str">
        <f>T("   GA")</f>
        <v xml:space="preserve">   GA</v>
      </c>
      <c r="B286" t="str">
        <f>T("   Gabon")</f>
        <v xml:space="preserve">   Gabon</v>
      </c>
      <c r="C286">
        <v>950000</v>
      </c>
      <c r="D286">
        <v>13500</v>
      </c>
    </row>
    <row r="287" spans="1:4" x14ac:dyDescent="0.25">
      <c r="A287" t="str">
        <f>T("230310")</f>
        <v>230310</v>
      </c>
      <c r="B287" t="str">
        <f>T("Résidus d'amidonnerie et résidus simil.")</f>
        <v>Résidus d'amidonnerie et résidus simil.</v>
      </c>
    </row>
    <row r="288" spans="1:4" x14ac:dyDescent="0.25">
      <c r="A288" t="str">
        <f>T("   ZZZ_Monde")</f>
        <v xml:space="preserve">   ZZZ_Monde</v>
      </c>
      <c r="B288" t="str">
        <f>T("   ZZZ_Monde")</f>
        <v xml:space="preserve">   ZZZ_Monde</v>
      </c>
      <c r="C288">
        <v>4800000</v>
      </c>
      <c r="D288">
        <v>30000</v>
      </c>
    </row>
    <row r="289" spans="1:4" x14ac:dyDescent="0.25">
      <c r="A289" t="str">
        <f>T("   GH")</f>
        <v xml:space="preserve">   GH</v>
      </c>
      <c r="B289" t="str">
        <f>T("   Ghana")</f>
        <v xml:space="preserve">   Ghana</v>
      </c>
      <c r="C289">
        <v>4800000</v>
      </c>
      <c r="D289">
        <v>30000</v>
      </c>
    </row>
    <row r="290" spans="1:4" x14ac:dyDescent="0.25">
      <c r="A290" t="str">
        <f>T("230400")</f>
        <v>230400</v>
      </c>
      <c r="B290" t="str">
        <f>T("Tourteaux et autres résidus solides, même broyés ou agglomérés sous forme de pellets, de l'extraction de l'huile de soja")</f>
        <v>Tourteaux et autres résidus solides, même broyés ou agglomérés sous forme de pellets, de l'extraction de l'huile de soja</v>
      </c>
    </row>
    <row r="291" spans="1:4" x14ac:dyDescent="0.25">
      <c r="A291" t="str">
        <f>T("   ZZZ_Monde")</f>
        <v xml:space="preserve">   ZZZ_Monde</v>
      </c>
      <c r="B291" t="str">
        <f>T("   ZZZ_Monde")</f>
        <v xml:space="preserve">   ZZZ_Monde</v>
      </c>
      <c r="C291">
        <v>774395682</v>
      </c>
      <c r="D291">
        <v>2888875</v>
      </c>
    </row>
    <row r="292" spans="1:4" x14ac:dyDescent="0.25">
      <c r="A292" t="str">
        <f>T("   BF")</f>
        <v xml:space="preserve">   BF</v>
      </c>
      <c r="B292" t="str">
        <f>T("   Burkina Faso")</f>
        <v xml:space="preserve">   Burkina Faso</v>
      </c>
      <c r="C292">
        <v>12250000</v>
      </c>
      <c r="D292">
        <v>70000</v>
      </c>
    </row>
    <row r="293" spans="1:4" x14ac:dyDescent="0.25">
      <c r="A293" t="str">
        <f>T("   CI")</f>
        <v xml:space="preserve">   CI</v>
      </c>
      <c r="B293" t="str">
        <f>T("   Côte d'Ivoire")</f>
        <v xml:space="preserve">   Côte d'Ivoire</v>
      </c>
      <c r="C293">
        <v>310510000</v>
      </c>
      <c r="D293">
        <v>1052000</v>
      </c>
    </row>
    <row r="294" spans="1:4" x14ac:dyDescent="0.25">
      <c r="A294" t="str">
        <f>T("   CM")</f>
        <v xml:space="preserve">   CM</v>
      </c>
      <c r="B294" t="str">
        <f>T("   Cameroun")</f>
        <v xml:space="preserve">   Cameroun</v>
      </c>
      <c r="C294">
        <v>18221414</v>
      </c>
      <c r="D294">
        <v>99208</v>
      </c>
    </row>
    <row r="295" spans="1:4" x14ac:dyDescent="0.25">
      <c r="A295" t="str">
        <f>T("   GA")</f>
        <v xml:space="preserve">   GA</v>
      </c>
      <c r="B295" t="str">
        <f>T("   Gabon")</f>
        <v xml:space="preserve">   Gabon</v>
      </c>
      <c r="C295">
        <v>132196413</v>
      </c>
      <c r="D295">
        <v>620096</v>
      </c>
    </row>
    <row r="296" spans="1:4" x14ac:dyDescent="0.25">
      <c r="A296" t="str">
        <f>T("   GH")</f>
        <v xml:space="preserve">   GH</v>
      </c>
      <c r="B296" t="str">
        <f>T("   Ghana")</f>
        <v xml:space="preserve">   Ghana</v>
      </c>
      <c r="C296">
        <v>264617855</v>
      </c>
      <c r="D296">
        <v>927571</v>
      </c>
    </row>
    <row r="297" spans="1:4" x14ac:dyDescent="0.25">
      <c r="A297" t="str">
        <f>T("   TG")</f>
        <v xml:space="preserve">   TG</v>
      </c>
      <c r="B297" t="str">
        <f>T("   Togo")</f>
        <v xml:space="preserve">   Togo</v>
      </c>
      <c r="C297">
        <v>36600000</v>
      </c>
      <c r="D297">
        <v>120000</v>
      </c>
    </row>
    <row r="298" spans="1:4" x14ac:dyDescent="0.25">
      <c r="A298" t="str">
        <f>T("230610")</f>
        <v>230610</v>
      </c>
      <c r="B298"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299" spans="1:4" x14ac:dyDescent="0.25">
      <c r="A299" t="str">
        <f>T("   ZZZ_Monde")</f>
        <v xml:space="preserve">   ZZZ_Monde</v>
      </c>
      <c r="B299" t="str">
        <f>T("   ZZZ_Monde")</f>
        <v xml:space="preserve">   ZZZ_Monde</v>
      </c>
      <c r="C299">
        <v>1898112854</v>
      </c>
      <c r="D299">
        <v>14506738</v>
      </c>
    </row>
    <row r="300" spans="1:4" x14ac:dyDescent="0.25">
      <c r="A300" t="str">
        <f>T("   BF")</f>
        <v xml:space="preserve">   BF</v>
      </c>
      <c r="B300" t="str">
        <f>T("   Burkina Faso")</f>
        <v xml:space="preserve">   Burkina Faso</v>
      </c>
      <c r="C300">
        <v>8990100</v>
      </c>
      <c r="D300">
        <v>59934</v>
      </c>
    </row>
    <row r="301" spans="1:4" x14ac:dyDescent="0.25">
      <c r="A301" t="str">
        <f>T("   CI")</f>
        <v xml:space="preserve">   CI</v>
      </c>
      <c r="B301" t="str">
        <f>T("   Côte d'Ivoire")</f>
        <v xml:space="preserve">   Côte d'Ivoire</v>
      </c>
      <c r="C301">
        <v>629147795</v>
      </c>
      <c r="D301">
        <v>4100460</v>
      </c>
    </row>
    <row r="302" spans="1:4" x14ac:dyDescent="0.25">
      <c r="A302" t="str">
        <f>T("   GH")</f>
        <v xml:space="preserve">   GH</v>
      </c>
      <c r="B302" t="str">
        <f>T("   Ghana")</f>
        <v xml:space="preserve">   Ghana</v>
      </c>
      <c r="C302">
        <v>807087805</v>
      </c>
      <c r="D302">
        <v>4797066</v>
      </c>
    </row>
    <row r="303" spans="1:4" x14ac:dyDescent="0.25">
      <c r="A303" t="str">
        <f>T("   TG")</f>
        <v xml:space="preserve">   TG</v>
      </c>
      <c r="B303" t="str">
        <f>T("   Togo")</f>
        <v xml:space="preserve">   Togo</v>
      </c>
      <c r="C303">
        <v>89204145</v>
      </c>
      <c r="D303">
        <v>579940</v>
      </c>
    </row>
    <row r="304" spans="1:4" x14ac:dyDescent="0.25">
      <c r="A304" t="str">
        <f>T("   ZA")</f>
        <v xml:space="preserve">   ZA</v>
      </c>
      <c r="B304" t="str">
        <f>T("   Afrique du Sud")</f>
        <v xml:space="preserve">   Afrique du Sud</v>
      </c>
      <c r="C304">
        <v>363683009</v>
      </c>
      <c r="D304">
        <v>4969338</v>
      </c>
    </row>
    <row r="305" spans="1:4" x14ac:dyDescent="0.25">
      <c r="A305" t="str">
        <f>T("230649")</f>
        <v>230649</v>
      </c>
      <c r="B305" t="str">
        <f>T("TOURTEAUX ET AUTRES RÉSIDUS SOLIDES, MÊME BROYÉS OU AGGLOMÉRÉS SOUS FORME DE PELLETS, DE L'EXTRACTION DES GRAISSES OU HUILES DE NAVETTE OU DE COLZA D'UNE TENEUR ÉLEVÉE EN ACIDE ÉRUCIQUE 'FOURNISSANT UNE HUILE FIXE DONT LA TENEUR EN ACIDE ÉRUCIQUE EST &gt;= 2")</f>
        <v>TOURTEAUX ET AUTRES RÉSIDUS SOLIDES, MÊME BROYÉS OU AGGLOMÉRÉS SOUS FORME DE PELLETS, DE L'EXTRACTION DES GRAISSES OU HUILES DE NAVETTE OU DE COLZA D'UNE TENEUR ÉLEVÉE EN ACIDE ÉRUCIQUE 'FOURNISSANT UNE HUILE FIXE DONT LA TENEUR EN ACIDE ÉRUCIQUE EST &gt;= 2</v>
      </c>
    </row>
    <row r="306" spans="1:4" x14ac:dyDescent="0.25">
      <c r="A306" t="str">
        <f>T("   ZZZ_Monde")</f>
        <v xml:space="preserve">   ZZZ_Monde</v>
      </c>
      <c r="B306" t="str">
        <f>T("   ZZZ_Monde")</f>
        <v xml:space="preserve">   ZZZ_Monde</v>
      </c>
      <c r="C306">
        <v>18300000</v>
      </c>
      <c r="D306">
        <v>60000</v>
      </c>
    </row>
    <row r="307" spans="1:4" x14ac:dyDescent="0.25">
      <c r="A307" t="str">
        <f>T("   CI")</f>
        <v xml:space="preserve">   CI</v>
      </c>
      <c r="B307" t="str">
        <f>T("   Côte d'Ivoire")</f>
        <v xml:space="preserve">   Côte d'Ivoire</v>
      </c>
      <c r="C307">
        <v>18300000</v>
      </c>
      <c r="D307">
        <v>60000</v>
      </c>
    </row>
    <row r="308" spans="1:4" x14ac:dyDescent="0.25">
      <c r="A308" t="str">
        <f>T("230690")</f>
        <v>230690</v>
      </c>
      <c r="B308" t="str">
        <f>T("Tourteaux et autres résidus solides, même broyés ou agglomérés sous forme de pellets, de l'extraction de graisses ou huiles végétales (à l'excl. des tourteaux et autres résidus solides de l'extraction des graisses ou huiles de soja, d'arachide, de coton,")</f>
        <v>Tourteaux et autres résidus solides, même broyés ou agglomérés sous forme de pellets, de l'extraction de graisses ou huiles végétales (à l'excl. des tourteaux et autres résidus solides de l'extraction des graisses ou huiles de soja, d'arachide, de coton,</v>
      </c>
    </row>
    <row r="309" spans="1:4" x14ac:dyDescent="0.25">
      <c r="A309" t="str">
        <f>T("   ZZZ_Monde")</f>
        <v xml:space="preserve">   ZZZ_Monde</v>
      </c>
      <c r="B309" t="str">
        <f>T("   ZZZ_Monde")</f>
        <v xml:space="preserve">   ZZZ_Monde</v>
      </c>
      <c r="C309">
        <v>43529365</v>
      </c>
      <c r="D309">
        <v>839971</v>
      </c>
    </row>
    <row r="310" spans="1:4" x14ac:dyDescent="0.25">
      <c r="A310" t="str">
        <f>T("   IN")</f>
        <v xml:space="preserve">   IN</v>
      </c>
      <c r="B310" t="str">
        <f>T("   Inde")</f>
        <v xml:space="preserve">   Inde</v>
      </c>
      <c r="C310">
        <v>414925</v>
      </c>
      <c r="D310">
        <v>17690</v>
      </c>
    </row>
    <row r="311" spans="1:4" x14ac:dyDescent="0.25">
      <c r="A311" t="str">
        <f>T("   TR")</f>
        <v xml:space="preserve">   TR</v>
      </c>
      <c r="B311" t="str">
        <f>T("   Turquie")</f>
        <v xml:space="preserve">   Turquie</v>
      </c>
      <c r="C311">
        <v>42699419</v>
      </c>
      <c r="D311">
        <v>804965</v>
      </c>
    </row>
    <row r="312" spans="1:4" x14ac:dyDescent="0.25">
      <c r="A312" t="str">
        <f>T("   ZA")</f>
        <v xml:space="preserve">   ZA</v>
      </c>
      <c r="B312" t="str">
        <f>T("   Afrique du Sud")</f>
        <v xml:space="preserve">   Afrique du Sud</v>
      </c>
      <c r="C312">
        <v>415021</v>
      </c>
      <c r="D312">
        <v>17316</v>
      </c>
    </row>
    <row r="313" spans="1:4" x14ac:dyDescent="0.25">
      <c r="A313" t="str">
        <f>T("240220")</f>
        <v>240220</v>
      </c>
      <c r="B313" t="str">
        <f>T("Cigarettes contenant du tabac")</f>
        <v>Cigarettes contenant du tabac</v>
      </c>
    </row>
    <row r="314" spans="1:4" x14ac:dyDescent="0.25">
      <c r="A314" t="str">
        <f>T("   ZZZ_Monde")</f>
        <v xml:space="preserve">   ZZZ_Monde</v>
      </c>
      <c r="B314" t="str">
        <f>T("   ZZZ_Monde")</f>
        <v xml:space="preserve">   ZZZ_Monde</v>
      </c>
      <c r="C314">
        <v>293006007</v>
      </c>
      <c r="D314">
        <v>262134</v>
      </c>
    </row>
    <row r="315" spans="1:4" x14ac:dyDescent="0.25">
      <c r="A315" t="str">
        <f>T("   LY")</f>
        <v xml:space="preserve">   LY</v>
      </c>
      <c r="B315" t="str">
        <f>T("   Libyenne, Jamahiriya Arabe")</f>
        <v xml:space="preserve">   Libyenne, Jamahiriya Arabe</v>
      </c>
      <c r="C315">
        <v>293006007</v>
      </c>
      <c r="D315">
        <v>262134</v>
      </c>
    </row>
    <row r="316" spans="1:4" x14ac:dyDescent="0.25">
      <c r="A316" t="str">
        <f>T("251200")</f>
        <v>251200</v>
      </c>
      <c r="B316" t="str">
        <f>T("Farines siliceuses fossiles [kieselguhr, tripolite, diatomite, par exemple] et autres terres siliceuses analogues, d'une densité apparente &lt;= 1, même calcinées")</f>
        <v>Farines siliceuses fossiles [kieselguhr, tripolite, diatomite, par exemple] et autres terres siliceuses analogues, d'une densité apparente &lt;= 1, même calcinées</v>
      </c>
    </row>
    <row r="317" spans="1:4" x14ac:dyDescent="0.25">
      <c r="A317" t="str">
        <f>T("   ZZZ_Monde")</f>
        <v xml:space="preserve">   ZZZ_Monde</v>
      </c>
      <c r="B317" t="str">
        <f>T("   ZZZ_Monde")</f>
        <v xml:space="preserve">   ZZZ_Monde</v>
      </c>
      <c r="C317">
        <v>80428</v>
      </c>
      <c r="D317">
        <v>100</v>
      </c>
    </row>
    <row r="318" spans="1:4" x14ac:dyDescent="0.25">
      <c r="A318" t="str">
        <f>T("   TG")</f>
        <v xml:space="preserve">   TG</v>
      </c>
      <c r="B318" t="str">
        <f>T("   Togo")</f>
        <v xml:space="preserve">   Togo</v>
      </c>
      <c r="C318">
        <v>80428</v>
      </c>
      <c r="D318">
        <v>100</v>
      </c>
    </row>
    <row r="319" spans="1:4" x14ac:dyDescent="0.25">
      <c r="A319" t="str">
        <f>T("251319")</f>
        <v>251319</v>
      </c>
      <c r="B319" t="str">
        <f>T("Pierre ponce, broyée ou pulvérisée")</f>
        <v>Pierre ponce, broyée ou pulvérisée</v>
      </c>
    </row>
    <row r="320" spans="1:4" x14ac:dyDescent="0.25">
      <c r="A320" t="str">
        <f>T("   ZZZ_Monde")</f>
        <v xml:space="preserve">   ZZZ_Monde</v>
      </c>
      <c r="B320" t="str">
        <f>T("   ZZZ_Monde")</f>
        <v xml:space="preserve">   ZZZ_Monde</v>
      </c>
      <c r="C320">
        <v>6000000</v>
      </c>
      <c r="D320">
        <v>191386</v>
      </c>
    </row>
    <row r="321" spans="1:4" x14ac:dyDescent="0.25">
      <c r="A321" t="str">
        <f>T("   CI")</f>
        <v xml:space="preserve">   CI</v>
      </c>
      <c r="B321" t="str">
        <f>T("   Côte d'Ivoire")</f>
        <v xml:space="preserve">   Côte d'Ivoire</v>
      </c>
      <c r="C321">
        <v>6000000</v>
      </c>
      <c r="D321">
        <v>191386</v>
      </c>
    </row>
    <row r="322" spans="1:4" x14ac:dyDescent="0.25">
      <c r="A322" t="str">
        <f>T("251520")</f>
        <v>251520</v>
      </c>
      <c r="B322"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323" spans="1:4" x14ac:dyDescent="0.25">
      <c r="A323" t="str">
        <f>T("   ZZZ_Monde")</f>
        <v xml:space="preserve">   ZZZ_Monde</v>
      </c>
      <c r="B323" t="str">
        <f>T("   ZZZ_Monde")</f>
        <v xml:space="preserve">   ZZZ_Monde</v>
      </c>
      <c r="C323">
        <v>166850843</v>
      </c>
      <c r="D323">
        <v>10887518</v>
      </c>
    </row>
    <row r="324" spans="1:4" x14ac:dyDescent="0.25">
      <c r="A324" t="str">
        <f>T("   TG")</f>
        <v xml:space="preserve">   TG</v>
      </c>
      <c r="B324" t="str">
        <f>T("   Togo")</f>
        <v xml:space="preserve">   Togo</v>
      </c>
      <c r="C324">
        <v>166850843</v>
      </c>
      <c r="D324">
        <v>10887518</v>
      </c>
    </row>
    <row r="325" spans="1:4" x14ac:dyDescent="0.25">
      <c r="A325" t="str">
        <f>T("251690")</f>
        <v>251690</v>
      </c>
      <c r="B325" t="str">
        <f>T("Porphyre, basalte et autres pierres de taille ou de construction, même dégrossis ou simplement débités, en blocs ou en plaques de forme carrée ou rectangulaire (sauf granit, grès, pierres présentées sous la forme de granulés, d'éclats ou de poudres, pierr")</f>
        <v>Porphyre, basalte et autres pierres de taille ou de construction, même dégrossis ou simplement débités, en blocs ou en plaques de forme carrée ou rectangulaire (sauf granit, grès, pierres présentées sous la forme de granulés, d'éclats ou de poudres, pierr</v>
      </c>
    </row>
    <row r="326" spans="1:4" x14ac:dyDescent="0.25">
      <c r="A326" t="str">
        <f>T("   ZZZ_Monde")</f>
        <v xml:space="preserve">   ZZZ_Monde</v>
      </c>
      <c r="B326" t="str">
        <f>T("   ZZZ_Monde")</f>
        <v xml:space="preserve">   ZZZ_Monde</v>
      </c>
      <c r="C326">
        <v>7651082</v>
      </c>
      <c r="D326">
        <v>55040</v>
      </c>
    </row>
    <row r="327" spans="1:4" x14ac:dyDescent="0.25">
      <c r="A327" t="str">
        <f>T("   FR")</f>
        <v xml:space="preserve">   FR</v>
      </c>
      <c r="B327" t="str">
        <f>T("   France")</f>
        <v xml:space="preserve">   France</v>
      </c>
      <c r="C327">
        <v>7651082</v>
      </c>
      <c r="D327">
        <v>55040</v>
      </c>
    </row>
    <row r="328" spans="1:4" x14ac:dyDescent="0.25">
      <c r="A328" t="str">
        <f>T("251710")</f>
        <v>251710</v>
      </c>
      <c r="B328"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329" spans="1:4" x14ac:dyDescent="0.25">
      <c r="A329" t="str">
        <f>T("   ZZZ_Monde")</f>
        <v xml:space="preserve">   ZZZ_Monde</v>
      </c>
      <c r="B329" t="str">
        <f>T("   ZZZ_Monde")</f>
        <v xml:space="preserve">   ZZZ_Monde</v>
      </c>
      <c r="C329">
        <v>300000</v>
      </c>
      <c r="D329">
        <v>12500</v>
      </c>
    </row>
    <row r="330" spans="1:4" x14ac:dyDescent="0.25">
      <c r="A330" t="str">
        <f>T("   TG")</f>
        <v xml:space="preserve">   TG</v>
      </c>
      <c r="B330" t="str">
        <f>T("   Togo")</f>
        <v xml:space="preserve">   Togo</v>
      </c>
      <c r="C330">
        <v>300000</v>
      </c>
      <c r="D330">
        <v>12500</v>
      </c>
    </row>
    <row r="331" spans="1:4" x14ac:dyDescent="0.25">
      <c r="A331" t="str">
        <f>T("271019")</f>
        <v>271019</v>
      </c>
      <c r="B331" t="str">
        <f>T("Huiles moyennes et préparations, de pétrole ou de minéraux bitumineux, n.d.a.")</f>
        <v>Huiles moyennes et préparations, de pétrole ou de minéraux bitumineux, n.d.a.</v>
      </c>
    </row>
    <row r="332" spans="1:4" x14ac:dyDescent="0.25">
      <c r="A332" t="str">
        <f>T("   ZZZ_Monde")</f>
        <v xml:space="preserve">   ZZZ_Monde</v>
      </c>
      <c r="B332" t="str">
        <f>T("   ZZZ_Monde")</f>
        <v xml:space="preserve">   ZZZ_Monde</v>
      </c>
      <c r="C332">
        <v>237092718</v>
      </c>
      <c r="D332">
        <v>457546</v>
      </c>
    </row>
    <row r="333" spans="1:4" x14ac:dyDescent="0.25">
      <c r="A333" t="str">
        <f>T("   BF")</f>
        <v xml:space="preserve">   BF</v>
      </c>
      <c r="B333" t="str">
        <f>T("   Burkina Faso")</f>
        <v xml:space="preserve">   Burkina Faso</v>
      </c>
      <c r="C333">
        <v>21438320</v>
      </c>
      <c r="D333">
        <v>18246</v>
      </c>
    </row>
    <row r="334" spans="1:4" x14ac:dyDescent="0.25">
      <c r="A334" t="str">
        <f>T("   CI")</f>
        <v xml:space="preserve">   CI</v>
      </c>
      <c r="B334" t="str">
        <f>T("   Côte d'Ivoire")</f>
        <v xml:space="preserve">   Côte d'Ivoire</v>
      </c>
      <c r="C334">
        <v>54715873</v>
      </c>
      <c r="D334">
        <v>105674</v>
      </c>
    </row>
    <row r="335" spans="1:4" x14ac:dyDescent="0.25">
      <c r="A335" t="str">
        <f>T("   NG")</f>
        <v xml:space="preserve">   NG</v>
      </c>
      <c r="B335" t="str">
        <f>T("   Nigéria")</f>
        <v xml:space="preserve">   Nigéria</v>
      </c>
      <c r="C335">
        <v>38845856</v>
      </c>
      <c r="D335">
        <v>87595</v>
      </c>
    </row>
    <row r="336" spans="1:4" x14ac:dyDescent="0.25">
      <c r="A336" t="str">
        <f>T("   TG")</f>
        <v xml:space="preserve">   TG</v>
      </c>
      <c r="B336" t="str">
        <f>T("   Togo")</f>
        <v xml:space="preserve">   Togo</v>
      </c>
      <c r="C336">
        <v>1906996</v>
      </c>
      <c r="D336">
        <v>796</v>
      </c>
    </row>
    <row r="337" spans="1:4" x14ac:dyDescent="0.25">
      <c r="A337" t="str">
        <f>T("   ZA")</f>
        <v xml:space="preserve">   ZA</v>
      </c>
      <c r="B337" t="str">
        <f>T("   Afrique du Sud")</f>
        <v xml:space="preserve">   Afrique du Sud</v>
      </c>
      <c r="C337">
        <v>120185673</v>
      </c>
      <c r="D337">
        <v>245235</v>
      </c>
    </row>
    <row r="338" spans="1:4" x14ac:dyDescent="0.25">
      <c r="A338" t="str">
        <f>T("271320")</f>
        <v>271320</v>
      </c>
      <c r="B338" t="str">
        <f>T("Bitume de pétrole")</f>
        <v>Bitume de pétrole</v>
      </c>
    </row>
    <row r="339" spans="1:4" x14ac:dyDescent="0.25">
      <c r="A339" t="str">
        <f>T("   ZZZ_Monde")</f>
        <v xml:space="preserve">   ZZZ_Monde</v>
      </c>
      <c r="B339" t="str">
        <f>T("   ZZZ_Monde")</f>
        <v xml:space="preserve">   ZZZ_Monde</v>
      </c>
      <c r="C339">
        <v>102833600</v>
      </c>
      <c r="D339">
        <v>212528</v>
      </c>
    </row>
    <row r="340" spans="1:4" x14ac:dyDescent="0.25">
      <c r="A340" t="str">
        <f>T("   CI")</f>
        <v xml:space="preserve">   CI</v>
      </c>
      <c r="B340" t="str">
        <f>T("   Côte d'Ivoire")</f>
        <v xml:space="preserve">   Côte d'Ivoire</v>
      </c>
      <c r="C340">
        <v>4260000</v>
      </c>
      <c r="D340">
        <v>10000</v>
      </c>
    </row>
    <row r="341" spans="1:4" x14ac:dyDescent="0.25">
      <c r="A341" t="str">
        <f>T("   GA")</f>
        <v xml:space="preserve">   GA</v>
      </c>
      <c r="B341" t="str">
        <f>T("   Gabon")</f>
        <v xml:space="preserve">   Gabon</v>
      </c>
      <c r="C341">
        <v>87829600</v>
      </c>
      <c r="D341">
        <v>174528</v>
      </c>
    </row>
    <row r="342" spans="1:4" x14ac:dyDescent="0.25">
      <c r="A342" t="str">
        <f>T("   GH")</f>
        <v xml:space="preserve">   GH</v>
      </c>
      <c r="B342" t="str">
        <f>T("   Ghana")</f>
        <v xml:space="preserve">   Ghana</v>
      </c>
      <c r="C342">
        <v>2224000</v>
      </c>
      <c r="D342">
        <v>8000</v>
      </c>
    </row>
    <row r="343" spans="1:4" x14ac:dyDescent="0.25">
      <c r="A343" t="str">
        <f>T("   TG")</f>
        <v xml:space="preserve">   TG</v>
      </c>
      <c r="B343" t="str">
        <f>T("   Togo")</f>
        <v xml:space="preserve">   Togo</v>
      </c>
      <c r="C343">
        <v>8520000</v>
      </c>
      <c r="D343">
        <v>20000</v>
      </c>
    </row>
    <row r="344" spans="1:4" x14ac:dyDescent="0.25">
      <c r="A344" t="str">
        <f>T("271390")</f>
        <v>271390</v>
      </c>
      <c r="B344" t="str">
        <f>T("Résidus des huiles de pétrole ou de minéraux bitumineux (à l'excl. du coke de pétrole et du bitume de pétrole)")</f>
        <v>Résidus des huiles de pétrole ou de minéraux bitumineux (à l'excl. du coke de pétrole et du bitume de pétrole)</v>
      </c>
    </row>
    <row r="345" spans="1:4" x14ac:dyDescent="0.25">
      <c r="A345" t="str">
        <f>T("   ZZZ_Monde")</f>
        <v xml:space="preserve">   ZZZ_Monde</v>
      </c>
      <c r="B345" t="str">
        <f>T("   ZZZ_Monde")</f>
        <v xml:space="preserve">   ZZZ_Monde</v>
      </c>
      <c r="C345">
        <v>1320000</v>
      </c>
      <c r="D345">
        <v>11000</v>
      </c>
    </row>
    <row r="346" spans="1:4" x14ac:dyDescent="0.25">
      <c r="A346" t="str">
        <f>T("   GA")</f>
        <v xml:space="preserve">   GA</v>
      </c>
      <c r="B346" t="str">
        <f>T("   Gabon")</f>
        <v xml:space="preserve">   Gabon</v>
      </c>
      <c r="C346">
        <v>1320000</v>
      </c>
      <c r="D346">
        <v>11000</v>
      </c>
    </row>
    <row r="347" spans="1:4" x14ac:dyDescent="0.25">
      <c r="A347" t="str">
        <f>T("281122")</f>
        <v>281122</v>
      </c>
      <c r="B347" t="str">
        <f>T("Dioxyde de silicium")</f>
        <v>Dioxyde de silicium</v>
      </c>
    </row>
    <row r="348" spans="1:4" x14ac:dyDescent="0.25">
      <c r="A348" t="str">
        <f>T("   ZZZ_Monde")</f>
        <v xml:space="preserve">   ZZZ_Monde</v>
      </c>
      <c r="B348" t="str">
        <f>T("   ZZZ_Monde")</f>
        <v xml:space="preserve">   ZZZ_Monde</v>
      </c>
      <c r="C348">
        <v>9000000</v>
      </c>
      <c r="D348">
        <v>6000</v>
      </c>
    </row>
    <row r="349" spans="1:4" x14ac:dyDescent="0.25">
      <c r="A349" t="str">
        <f>T("   TG")</f>
        <v xml:space="preserve">   TG</v>
      </c>
      <c r="B349" t="str">
        <f>T("   Togo")</f>
        <v xml:space="preserve">   Togo</v>
      </c>
      <c r="C349">
        <v>9000000</v>
      </c>
      <c r="D349">
        <v>6000</v>
      </c>
    </row>
    <row r="350" spans="1:4" x14ac:dyDescent="0.25">
      <c r="A350" t="str">
        <f>T("294200")</f>
        <v>294200</v>
      </c>
      <c r="B350" t="str">
        <f>T("Composés organiques de constitution chimique définie présentés isolément, n.d.a.")</f>
        <v>Composés organiques de constitution chimique définie présentés isolément, n.d.a.</v>
      </c>
    </row>
    <row r="351" spans="1:4" x14ac:dyDescent="0.25">
      <c r="A351" t="str">
        <f>T("   ZZZ_Monde")</f>
        <v xml:space="preserve">   ZZZ_Monde</v>
      </c>
      <c r="B351" t="str">
        <f>T("   ZZZ_Monde")</f>
        <v xml:space="preserve">   ZZZ_Monde</v>
      </c>
      <c r="C351">
        <v>1380000</v>
      </c>
      <c r="D351">
        <v>400</v>
      </c>
    </row>
    <row r="352" spans="1:4" x14ac:dyDescent="0.25">
      <c r="A352" t="str">
        <f>T("   GA")</f>
        <v xml:space="preserve">   GA</v>
      </c>
      <c r="B352" t="str">
        <f>T("   Gabon")</f>
        <v xml:space="preserve">   Gabon</v>
      </c>
      <c r="C352">
        <v>1380000</v>
      </c>
      <c r="D352">
        <v>400</v>
      </c>
    </row>
    <row r="353" spans="1:4" x14ac:dyDescent="0.25">
      <c r="A353" t="str">
        <f>T("300390")</f>
        <v>300390</v>
      </c>
      <c r="B353"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354" spans="1:4" x14ac:dyDescent="0.25">
      <c r="A354" t="str">
        <f>T("   ZZZ_Monde")</f>
        <v xml:space="preserve">   ZZZ_Monde</v>
      </c>
      <c r="B354" t="str">
        <f>T("   ZZZ_Monde")</f>
        <v xml:space="preserve">   ZZZ_Monde</v>
      </c>
      <c r="C354">
        <v>486278005</v>
      </c>
      <c r="D354">
        <v>36015</v>
      </c>
    </row>
    <row r="355" spans="1:4" x14ac:dyDescent="0.25">
      <c r="A355" t="str">
        <f>T("   CM")</f>
        <v xml:space="preserve">   CM</v>
      </c>
      <c r="B355" t="str">
        <f>T("   Cameroun")</f>
        <v xml:space="preserve">   Cameroun</v>
      </c>
      <c r="C355">
        <v>486178005</v>
      </c>
      <c r="D355">
        <v>35015</v>
      </c>
    </row>
    <row r="356" spans="1:4" x14ac:dyDescent="0.25">
      <c r="A356" t="str">
        <f>T("   GA")</f>
        <v xml:space="preserve">   GA</v>
      </c>
      <c r="B356" t="str">
        <f>T("   Gabon")</f>
        <v xml:space="preserve">   Gabon</v>
      </c>
      <c r="C356">
        <v>100000</v>
      </c>
      <c r="D356">
        <v>1000</v>
      </c>
    </row>
    <row r="357" spans="1:4" x14ac:dyDescent="0.25">
      <c r="A357" t="str">
        <f>T("300450")</f>
        <v>300450</v>
      </c>
      <c r="B357" t="str">
        <f>T("Médicaments contenant des provitamines, des vitamines, y.c. les concentrats naturels, ou des dérivés de ces produits utilisés principalement en tant que vitamines, présentés sous forme de doses [y.c. ceux destinés à être administrés par voie percutanée] o")</f>
        <v>Médicaments contenant des provitamines, des vitamines, y.c. les concentrats naturels, ou des dérivés de ces produits utilisés principalement en tant que vitamines, présentés sous forme de doses [y.c. ceux destinés à être administrés par voie percutanée] o</v>
      </c>
    </row>
    <row r="358" spans="1:4" x14ac:dyDescent="0.25">
      <c r="A358" t="str">
        <f>T("   ZZZ_Monde")</f>
        <v xml:space="preserve">   ZZZ_Monde</v>
      </c>
      <c r="B358" t="str">
        <f>T("   ZZZ_Monde")</f>
        <v xml:space="preserve">   ZZZ_Monde</v>
      </c>
      <c r="C358">
        <v>34318133</v>
      </c>
      <c r="D358">
        <v>5000</v>
      </c>
    </row>
    <row r="359" spans="1:4" x14ac:dyDescent="0.25">
      <c r="A359" t="str">
        <f>T("   GQ")</f>
        <v xml:space="preserve">   GQ</v>
      </c>
      <c r="B359" t="str">
        <f>T("   Guinée Equatoriale")</f>
        <v xml:space="preserve">   Guinée Equatoriale</v>
      </c>
      <c r="C359">
        <v>34318133</v>
      </c>
      <c r="D359">
        <v>5000</v>
      </c>
    </row>
    <row r="360" spans="1:4" x14ac:dyDescent="0.25">
      <c r="A360" t="str">
        <f>T("300490")</f>
        <v>300490</v>
      </c>
      <c r="B360"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61" spans="1:4" x14ac:dyDescent="0.25">
      <c r="A361" t="str">
        <f>T("   ZZZ_Monde")</f>
        <v xml:space="preserve">   ZZZ_Monde</v>
      </c>
      <c r="B361" t="str">
        <f>T("   ZZZ_Monde")</f>
        <v xml:space="preserve">   ZZZ_Monde</v>
      </c>
      <c r="C361">
        <v>210400439</v>
      </c>
      <c r="D361">
        <v>18430</v>
      </c>
    </row>
    <row r="362" spans="1:4" x14ac:dyDescent="0.25">
      <c r="A362" t="str">
        <f>T("   BE")</f>
        <v xml:space="preserve">   BE</v>
      </c>
      <c r="B362" t="str">
        <f>T("   Belgique")</f>
        <v xml:space="preserve">   Belgique</v>
      </c>
      <c r="C362">
        <v>40500000</v>
      </c>
      <c r="D362">
        <v>2400</v>
      </c>
    </row>
    <row r="363" spans="1:4" x14ac:dyDescent="0.25">
      <c r="A363" t="str">
        <f>T("   BF")</f>
        <v xml:space="preserve">   BF</v>
      </c>
      <c r="B363" t="str">
        <f>T("   Burkina Faso")</f>
        <v xml:space="preserve">   Burkina Faso</v>
      </c>
      <c r="C363">
        <v>17100000</v>
      </c>
      <c r="D363">
        <v>1070</v>
      </c>
    </row>
    <row r="364" spans="1:4" x14ac:dyDescent="0.25">
      <c r="A364" t="str">
        <f>T("   CM")</f>
        <v xml:space="preserve">   CM</v>
      </c>
      <c r="B364" t="str">
        <f>T("   Cameroun")</f>
        <v xml:space="preserve">   Cameroun</v>
      </c>
      <c r="C364">
        <v>10345000</v>
      </c>
      <c r="D364">
        <v>2530</v>
      </c>
    </row>
    <row r="365" spans="1:4" x14ac:dyDescent="0.25">
      <c r="A365" t="str">
        <f>T("   GH")</f>
        <v xml:space="preserve">   GH</v>
      </c>
      <c r="B365" t="str">
        <f>T("   Ghana")</f>
        <v xml:space="preserve">   Ghana</v>
      </c>
      <c r="C365">
        <v>84525530</v>
      </c>
      <c r="D365">
        <v>6364</v>
      </c>
    </row>
    <row r="366" spans="1:4" x14ac:dyDescent="0.25">
      <c r="A366" t="str">
        <f>T("   GQ")</f>
        <v xml:space="preserve">   GQ</v>
      </c>
      <c r="B366" t="str">
        <f>T("   Guinée Equatoriale")</f>
        <v xml:space="preserve">   Guinée Equatoriale</v>
      </c>
      <c r="C366">
        <v>25999000</v>
      </c>
      <c r="D366">
        <v>2360</v>
      </c>
    </row>
    <row r="367" spans="1:4" x14ac:dyDescent="0.25">
      <c r="A367" t="str">
        <f>T("   TG")</f>
        <v xml:space="preserve">   TG</v>
      </c>
      <c r="B367" t="str">
        <f>T("   Togo")</f>
        <v xml:space="preserve">   Togo</v>
      </c>
      <c r="C367">
        <v>31930909</v>
      </c>
      <c r="D367">
        <v>3706</v>
      </c>
    </row>
    <row r="368" spans="1:4" x14ac:dyDescent="0.25">
      <c r="A368" t="str">
        <f>T("300590")</f>
        <v>300590</v>
      </c>
      <c r="B368"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69" spans="1:4" x14ac:dyDescent="0.25">
      <c r="A369" t="str">
        <f>T("   ZZZ_Monde")</f>
        <v xml:space="preserve">   ZZZ_Monde</v>
      </c>
      <c r="B369" t="str">
        <f>T("   ZZZ_Monde")</f>
        <v xml:space="preserve">   ZZZ_Monde</v>
      </c>
      <c r="C369">
        <v>2851500</v>
      </c>
      <c r="D369">
        <v>1711</v>
      </c>
    </row>
    <row r="370" spans="1:4" x14ac:dyDescent="0.25">
      <c r="A370" t="str">
        <f>T("   TG")</f>
        <v xml:space="preserve">   TG</v>
      </c>
      <c r="B370" t="str">
        <f>T("   Togo")</f>
        <v xml:space="preserve">   Togo</v>
      </c>
      <c r="C370">
        <v>2851500</v>
      </c>
      <c r="D370">
        <v>1711</v>
      </c>
    </row>
    <row r="371" spans="1:4" x14ac:dyDescent="0.25">
      <c r="A371" t="str">
        <f>T("320820")</f>
        <v>320820</v>
      </c>
      <c r="B371"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72" spans="1:4" x14ac:dyDescent="0.25">
      <c r="A372" t="str">
        <f>T("   ZZZ_Monde")</f>
        <v xml:space="preserve">   ZZZ_Monde</v>
      </c>
      <c r="B372" t="str">
        <f>T("   ZZZ_Monde")</f>
        <v xml:space="preserve">   ZZZ_Monde</v>
      </c>
      <c r="C372">
        <v>13399377</v>
      </c>
      <c r="D372">
        <v>5080</v>
      </c>
    </row>
    <row r="373" spans="1:4" x14ac:dyDescent="0.25">
      <c r="A373" t="str">
        <f>T("   GH")</f>
        <v xml:space="preserve">   GH</v>
      </c>
      <c r="B373" t="str">
        <f>T("   Ghana")</f>
        <v xml:space="preserve">   Ghana</v>
      </c>
      <c r="C373">
        <v>10167207</v>
      </c>
      <c r="D373">
        <v>4680</v>
      </c>
    </row>
    <row r="374" spans="1:4" x14ac:dyDescent="0.25">
      <c r="A374" t="str">
        <f>T("   TG")</f>
        <v xml:space="preserve">   TG</v>
      </c>
      <c r="B374" t="str">
        <f>T("   Togo")</f>
        <v xml:space="preserve">   Togo</v>
      </c>
      <c r="C374">
        <v>3232170</v>
      </c>
      <c r="D374">
        <v>400</v>
      </c>
    </row>
    <row r="375" spans="1:4" x14ac:dyDescent="0.25">
      <c r="A375" t="str">
        <f>T("320890")</f>
        <v>320890</v>
      </c>
      <c r="B375"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76" spans="1:4" x14ac:dyDescent="0.25">
      <c r="A376" t="str">
        <f>T("   ZZZ_Monde")</f>
        <v xml:space="preserve">   ZZZ_Monde</v>
      </c>
      <c r="B376" t="str">
        <f>T("   ZZZ_Monde")</f>
        <v xml:space="preserve">   ZZZ_Monde</v>
      </c>
      <c r="C376">
        <v>112008167</v>
      </c>
      <c r="D376">
        <v>43092</v>
      </c>
    </row>
    <row r="377" spans="1:4" x14ac:dyDescent="0.25">
      <c r="A377" t="str">
        <f>T("   BF")</f>
        <v xml:space="preserve">   BF</v>
      </c>
      <c r="B377" t="str">
        <f>T("   Burkina Faso")</f>
        <v xml:space="preserve">   Burkina Faso</v>
      </c>
      <c r="C377">
        <v>4885648</v>
      </c>
      <c r="D377">
        <v>1405</v>
      </c>
    </row>
    <row r="378" spans="1:4" x14ac:dyDescent="0.25">
      <c r="A378" t="str">
        <f>T("   TD")</f>
        <v xml:space="preserve">   TD</v>
      </c>
      <c r="B378" t="str">
        <f>T("   Tchad")</f>
        <v xml:space="preserve">   Tchad</v>
      </c>
      <c r="C378">
        <v>26619753</v>
      </c>
      <c r="D378">
        <v>9921</v>
      </c>
    </row>
    <row r="379" spans="1:4" x14ac:dyDescent="0.25">
      <c r="A379" t="str">
        <f>T("   TG")</f>
        <v xml:space="preserve">   TG</v>
      </c>
      <c r="B379" t="str">
        <f>T("   Togo")</f>
        <v xml:space="preserve">   Togo</v>
      </c>
      <c r="C379">
        <v>80502766</v>
      </c>
      <c r="D379">
        <v>31766</v>
      </c>
    </row>
    <row r="380" spans="1:4" x14ac:dyDescent="0.25">
      <c r="A380" t="str">
        <f>T("320910")</f>
        <v>320910</v>
      </c>
      <c r="B380" t="str">
        <f>T("Peintures et vernis à base de polymères acryliques ou vinyliques, dispersés ou dissous dans un milieu aqueux")</f>
        <v>Peintures et vernis à base de polymères acryliques ou vinyliques, dispersés ou dissous dans un milieu aqueux</v>
      </c>
    </row>
    <row r="381" spans="1:4" x14ac:dyDescent="0.25">
      <c r="A381" t="str">
        <f>T("   ZZZ_Monde")</f>
        <v xml:space="preserve">   ZZZ_Monde</v>
      </c>
      <c r="B381" t="str">
        <f>T("   ZZZ_Monde")</f>
        <v xml:space="preserve">   ZZZ_Monde</v>
      </c>
      <c r="C381">
        <v>16335887</v>
      </c>
      <c r="D381">
        <v>15980</v>
      </c>
    </row>
    <row r="382" spans="1:4" x14ac:dyDescent="0.25">
      <c r="A382" t="str">
        <f>T("   BF")</f>
        <v xml:space="preserve">   BF</v>
      </c>
      <c r="B382" t="str">
        <f>T("   Burkina Faso")</f>
        <v xml:space="preserve">   Burkina Faso</v>
      </c>
      <c r="C382">
        <v>7173737</v>
      </c>
      <c r="D382">
        <v>5065</v>
      </c>
    </row>
    <row r="383" spans="1:4" x14ac:dyDescent="0.25">
      <c r="A383" t="str">
        <f>T("   TG")</f>
        <v xml:space="preserve">   TG</v>
      </c>
      <c r="B383" t="str">
        <f>T("   Togo")</f>
        <v xml:space="preserve">   Togo</v>
      </c>
      <c r="C383">
        <v>9162150</v>
      </c>
      <c r="D383">
        <v>10915</v>
      </c>
    </row>
    <row r="384" spans="1:4" x14ac:dyDescent="0.25">
      <c r="A384" t="str">
        <f>T("330499")</f>
        <v>330499</v>
      </c>
      <c r="B384"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85" spans="1:4" x14ac:dyDescent="0.25">
      <c r="A385" t="str">
        <f>T("   ZZZ_Monde")</f>
        <v xml:space="preserve">   ZZZ_Monde</v>
      </c>
      <c r="B385" t="str">
        <f>T("   ZZZ_Monde")</f>
        <v xml:space="preserve">   ZZZ_Monde</v>
      </c>
      <c r="C385">
        <v>2005025</v>
      </c>
      <c r="D385">
        <v>5645</v>
      </c>
    </row>
    <row r="386" spans="1:4" x14ac:dyDescent="0.25">
      <c r="A386" t="str">
        <f>T("   GA")</f>
        <v xml:space="preserve">   GA</v>
      </c>
      <c r="B386" t="str">
        <f>T("   Gabon")</f>
        <v xml:space="preserve">   Gabon</v>
      </c>
      <c r="C386">
        <v>895000</v>
      </c>
      <c r="D386">
        <v>4600</v>
      </c>
    </row>
    <row r="387" spans="1:4" x14ac:dyDescent="0.25">
      <c r="A387" t="str">
        <f>T("   GQ")</f>
        <v xml:space="preserve">   GQ</v>
      </c>
      <c r="B387" t="str">
        <f>T("   Guinée Equatoriale")</f>
        <v xml:space="preserve">   Guinée Equatoriale</v>
      </c>
      <c r="C387">
        <v>1110025</v>
      </c>
      <c r="D387">
        <v>1045</v>
      </c>
    </row>
    <row r="388" spans="1:4" x14ac:dyDescent="0.25">
      <c r="A388" t="str">
        <f>T("340119")</f>
        <v>340119</v>
      </c>
      <c r="B388"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389" spans="1:4" x14ac:dyDescent="0.25">
      <c r="A389" t="str">
        <f>T("   ZZZ_Monde")</f>
        <v xml:space="preserve">   ZZZ_Monde</v>
      </c>
      <c r="B389" t="str">
        <f>T("   ZZZ_Monde")</f>
        <v xml:space="preserve">   ZZZ_Monde</v>
      </c>
      <c r="C389">
        <v>209104576</v>
      </c>
      <c r="D389">
        <v>322750</v>
      </c>
    </row>
    <row r="390" spans="1:4" x14ac:dyDescent="0.25">
      <c r="A390" t="str">
        <f>T("   NG")</f>
        <v xml:space="preserve">   NG</v>
      </c>
      <c r="B390" t="str">
        <f>T("   Nigéria")</f>
        <v xml:space="preserve">   Nigéria</v>
      </c>
      <c r="C390">
        <v>209104576</v>
      </c>
      <c r="D390">
        <v>322750</v>
      </c>
    </row>
    <row r="391" spans="1:4" x14ac:dyDescent="0.25">
      <c r="A391" t="str">
        <f>T("340120")</f>
        <v>340120</v>
      </c>
      <c r="B391" t="str">
        <f>T("Savons en flocons, en paillettes, en granulés ou en poudres et savons liquides ou pâteux")</f>
        <v>Savons en flocons, en paillettes, en granulés ou en poudres et savons liquides ou pâteux</v>
      </c>
    </row>
    <row r="392" spans="1:4" x14ac:dyDescent="0.25">
      <c r="A392" t="str">
        <f>T("   ZZZ_Monde")</f>
        <v xml:space="preserve">   ZZZ_Monde</v>
      </c>
      <c r="B392" t="str">
        <f>T("   ZZZ_Monde")</f>
        <v xml:space="preserve">   ZZZ_Monde</v>
      </c>
      <c r="C392">
        <v>12810000</v>
      </c>
      <c r="D392">
        <v>14700</v>
      </c>
    </row>
    <row r="393" spans="1:4" x14ac:dyDescent="0.25">
      <c r="A393" t="str">
        <f>T("   NE")</f>
        <v xml:space="preserve">   NE</v>
      </c>
      <c r="B393" t="str">
        <f>T("   Niger")</f>
        <v xml:space="preserve">   Niger</v>
      </c>
      <c r="C393">
        <v>12810000</v>
      </c>
      <c r="D393">
        <v>14700</v>
      </c>
    </row>
    <row r="394" spans="1:4" x14ac:dyDescent="0.25">
      <c r="A394" t="str">
        <f>T("340212")</f>
        <v>340212</v>
      </c>
      <c r="B394" t="str">
        <f>T("Agents de surface organiques, cationiques, même conditionnés pour la vente au détail (à l'excl. des savons)")</f>
        <v>Agents de surface organiques, cationiques, même conditionnés pour la vente au détail (à l'excl. des savons)</v>
      </c>
    </row>
    <row r="395" spans="1:4" x14ac:dyDescent="0.25">
      <c r="A395" t="str">
        <f>T("   ZZZ_Monde")</f>
        <v xml:space="preserve">   ZZZ_Monde</v>
      </c>
      <c r="B395" t="str">
        <f>T("   ZZZ_Monde")</f>
        <v xml:space="preserve">   ZZZ_Monde</v>
      </c>
      <c r="C395">
        <v>8259000</v>
      </c>
      <c r="D395">
        <v>3000</v>
      </c>
    </row>
    <row r="396" spans="1:4" x14ac:dyDescent="0.25">
      <c r="A396" t="str">
        <f>T("   TG")</f>
        <v xml:space="preserve">   TG</v>
      </c>
      <c r="B396" t="str">
        <f>T("   Togo")</f>
        <v xml:space="preserve">   Togo</v>
      </c>
      <c r="C396">
        <v>8259000</v>
      </c>
      <c r="D396">
        <v>3000</v>
      </c>
    </row>
    <row r="397" spans="1:4" x14ac:dyDescent="0.25">
      <c r="A397" t="str">
        <f>T("340219")</f>
        <v>340219</v>
      </c>
      <c r="B397" t="str">
        <f>T("Agents de surface organiques, même conditionnés pour la vente au détail (à l'excl. des savons et des agents de surface anioniques, cationiques ou non ioniques)")</f>
        <v>Agents de surface organiques, même conditionnés pour la vente au détail (à l'excl. des savons et des agents de surface anioniques, cationiques ou non ioniques)</v>
      </c>
    </row>
    <row r="398" spans="1:4" x14ac:dyDescent="0.25">
      <c r="A398" t="str">
        <f>T("   ZZZ_Monde")</f>
        <v xml:space="preserve">   ZZZ_Monde</v>
      </c>
      <c r="B398" t="str">
        <f>T("   ZZZ_Monde")</f>
        <v xml:space="preserve">   ZZZ_Monde</v>
      </c>
      <c r="C398">
        <v>13223517</v>
      </c>
      <c r="D398">
        <v>22535</v>
      </c>
    </row>
    <row r="399" spans="1:4" x14ac:dyDescent="0.25">
      <c r="A399" t="str">
        <f>T("   TG")</f>
        <v xml:space="preserve">   TG</v>
      </c>
      <c r="B399" t="str">
        <f>T("   Togo")</f>
        <v xml:space="preserve">   Togo</v>
      </c>
      <c r="C399">
        <v>13223517</v>
      </c>
      <c r="D399">
        <v>22535</v>
      </c>
    </row>
    <row r="400" spans="1:4" x14ac:dyDescent="0.25">
      <c r="A400" t="str">
        <f>T("360500")</f>
        <v>360500</v>
      </c>
      <c r="B400" t="str">
        <f>T("Allumettes (autres que les articles de pyrotechnie du n° 3604)")</f>
        <v>Allumettes (autres que les articles de pyrotechnie du n° 3604)</v>
      </c>
    </row>
    <row r="401" spans="1:4" x14ac:dyDescent="0.25">
      <c r="A401" t="str">
        <f>T("   ZZZ_Monde")</f>
        <v xml:space="preserve">   ZZZ_Monde</v>
      </c>
      <c r="B401" t="str">
        <f>T("   ZZZ_Monde")</f>
        <v xml:space="preserve">   ZZZ_Monde</v>
      </c>
      <c r="C401">
        <v>3000000</v>
      </c>
      <c r="D401">
        <v>13376</v>
      </c>
    </row>
    <row r="402" spans="1:4" x14ac:dyDescent="0.25">
      <c r="A402" t="str">
        <f>T("   ML")</f>
        <v xml:space="preserve">   ML</v>
      </c>
      <c r="B402" t="str">
        <f>T("   Mali")</f>
        <v xml:space="preserve">   Mali</v>
      </c>
      <c r="C402">
        <v>3000000</v>
      </c>
      <c r="D402">
        <v>13376</v>
      </c>
    </row>
    <row r="403" spans="1:4" x14ac:dyDescent="0.25">
      <c r="A403" t="str">
        <f>T("370790")</f>
        <v>370790</v>
      </c>
      <c r="B403"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404" spans="1:4" x14ac:dyDescent="0.25">
      <c r="A404" t="str">
        <f>T("   ZZZ_Monde")</f>
        <v xml:space="preserve">   ZZZ_Monde</v>
      </c>
      <c r="B404" t="str">
        <f>T("   ZZZ_Monde")</f>
        <v xml:space="preserve">   ZZZ_Monde</v>
      </c>
      <c r="C404">
        <v>3529411</v>
      </c>
      <c r="D404">
        <v>5450</v>
      </c>
    </row>
    <row r="405" spans="1:4" x14ac:dyDescent="0.25">
      <c r="A405" t="str">
        <f>T("   CI")</f>
        <v xml:space="preserve">   CI</v>
      </c>
      <c r="B405" t="str">
        <f>T("   Côte d'Ivoire")</f>
        <v xml:space="preserve">   Côte d'Ivoire</v>
      </c>
      <c r="C405">
        <v>3529411</v>
      </c>
      <c r="D405">
        <v>5450</v>
      </c>
    </row>
    <row r="406" spans="1:4" x14ac:dyDescent="0.25">
      <c r="A406" t="str">
        <f>T("380840")</f>
        <v>380840</v>
      </c>
      <c r="B406"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07" spans="1:4" x14ac:dyDescent="0.25">
      <c r="A407" t="str">
        <f>T("   ZZZ_Monde")</f>
        <v xml:space="preserve">   ZZZ_Monde</v>
      </c>
      <c r="B407" t="str">
        <f>T("   ZZZ_Monde")</f>
        <v xml:space="preserve">   ZZZ_Monde</v>
      </c>
      <c r="C407">
        <v>45392432</v>
      </c>
      <c r="D407">
        <v>80000</v>
      </c>
    </row>
    <row r="408" spans="1:4" x14ac:dyDescent="0.25">
      <c r="A408" t="str">
        <f>T("   FR")</f>
        <v xml:space="preserve">   FR</v>
      </c>
      <c r="B408" t="str">
        <f>T("   France")</f>
        <v xml:space="preserve">   France</v>
      </c>
      <c r="C408">
        <v>34044324</v>
      </c>
      <c r="D408">
        <v>60000</v>
      </c>
    </row>
    <row r="409" spans="1:4" x14ac:dyDescent="0.25">
      <c r="A409" t="str">
        <f>T("   IN")</f>
        <v xml:space="preserve">   IN</v>
      </c>
      <c r="B409" t="str">
        <f>T("   Inde")</f>
        <v xml:space="preserve">   Inde</v>
      </c>
      <c r="C409">
        <v>11348108</v>
      </c>
      <c r="D409">
        <v>20000</v>
      </c>
    </row>
    <row r="410" spans="1:4" x14ac:dyDescent="0.25">
      <c r="A410" t="str">
        <f>T("380890")</f>
        <v>380890</v>
      </c>
      <c r="B410" t="str">
        <f>T("Antirongeurs et autres produits phytosanitaires, présentés dans des formes ou emballages de vente au détail ou à l'état de préparations ou sous forme d'articles (à l'excl. des insecticides, des fongicides, des herbicides et des désinfectants)")</f>
        <v>Antirongeurs et autres produits phytosanitaires, présentés dans des formes ou emballages de vente au détail ou à l'état de préparations ou sous forme d'articles (à l'excl. des insecticides, des fongicides, des herbicides et des désinfectants)</v>
      </c>
    </row>
    <row r="411" spans="1:4" x14ac:dyDescent="0.25">
      <c r="A411" t="str">
        <f>T("   ZZZ_Monde")</f>
        <v xml:space="preserve">   ZZZ_Monde</v>
      </c>
      <c r="B411" t="str">
        <f>T("   ZZZ_Monde")</f>
        <v xml:space="preserve">   ZZZ_Monde</v>
      </c>
      <c r="C411">
        <v>485082</v>
      </c>
      <c r="D411">
        <v>132</v>
      </c>
    </row>
    <row r="412" spans="1:4" x14ac:dyDescent="0.25">
      <c r="A412" t="str">
        <f>T("   TG")</f>
        <v xml:space="preserve">   TG</v>
      </c>
      <c r="B412" t="str">
        <f>T("   Togo")</f>
        <v xml:space="preserve">   Togo</v>
      </c>
      <c r="C412">
        <v>485082</v>
      </c>
      <c r="D412">
        <v>132</v>
      </c>
    </row>
    <row r="413" spans="1:4" x14ac:dyDescent="0.25">
      <c r="A413" t="str">
        <f>T("381400")</f>
        <v>381400</v>
      </c>
      <c r="B413"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414" spans="1:4" x14ac:dyDescent="0.25">
      <c r="A414" t="str">
        <f>T("   ZZZ_Monde")</f>
        <v xml:space="preserve">   ZZZ_Monde</v>
      </c>
      <c r="B414" t="str">
        <f>T("   ZZZ_Monde")</f>
        <v xml:space="preserve">   ZZZ_Monde</v>
      </c>
      <c r="C414">
        <v>716040</v>
      </c>
      <c r="D414">
        <v>396</v>
      </c>
    </row>
    <row r="415" spans="1:4" x14ac:dyDescent="0.25">
      <c r="A415" t="str">
        <f>T("   TG")</f>
        <v xml:space="preserve">   TG</v>
      </c>
      <c r="B415" t="str">
        <f>T("   Togo")</f>
        <v xml:space="preserve">   Togo</v>
      </c>
      <c r="C415">
        <v>716040</v>
      </c>
      <c r="D415">
        <v>396</v>
      </c>
    </row>
    <row r="416" spans="1:4" x14ac:dyDescent="0.25">
      <c r="A416" t="str">
        <f>T("382490")</f>
        <v>382490</v>
      </c>
      <c r="B416"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17" spans="1:4" x14ac:dyDescent="0.25">
      <c r="A417" t="str">
        <f>T("   ZZZ_Monde")</f>
        <v xml:space="preserve">   ZZZ_Monde</v>
      </c>
      <c r="B417" t="str">
        <f>T("   ZZZ_Monde")</f>
        <v xml:space="preserve">   ZZZ_Monde</v>
      </c>
      <c r="C417">
        <v>5312990</v>
      </c>
      <c r="D417">
        <v>34847</v>
      </c>
    </row>
    <row r="418" spans="1:4" x14ac:dyDescent="0.25">
      <c r="A418" t="str">
        <f>T("   CI")</f>
        <v xml:space="preserve">   CI</v>
      </c>
      <c r="B418" t="str">
        <f>T("   Côte d'Ivoire")</f>
        <v xml:space="preserve">   Côte d'Ivoire</v>
      </c>
      <c r="C418">
        <v>3461520</v>
      </c>
      <c r="D418">
        <v>11017</v>
      </c>
    </row>
    <row r="419" spans="1:4" x14ac:dyDescent="0.25">
      <c r="A419" t="str">
        <f>T("   TG")</f>
        <v xml:space="preserve">   TG</v>
      </c>
      <c r="B419" t="str">
        <f>T("   Togo")</f>
        <v xml:space="preserve">   Togo</v>
      </c>
      <c r="C419">
        <v>1851470</v>
      </c>
      <c r="D419">
        <v>23830</v>
      </c>
    </row>
    <row r="420" spans="1:4" x14ac:dyDescent="0.25">
      <c r="A420" t="str">
        <f>T("390410")</f>
        <v>390410</v>
      </c>
      <c r="B420" t="str">
        <f>T("Poly[chlorure de vinyle], sous formes primaires, non mélangé à d'autres substances")</f>
        <v>Poly[chlorure de vinyle], sous formes primaires, non mélangé à d'autres substances</v>
      </c>
    </row>
    <row r="421" spans="1:4" x14ac:dyDescent="0.25">
      <c r="A421" t="str">
        <f>T("   ZZZ_Monde")</f>
        <v xml:space="preserve">   ZZZ_Monde</v>
      </c>
      <c r="B421" t="str">
        <f>T("   ZZZ_Monde")</f>
        <v xml:space="preserve">   ZZZ_Monde</v>
      </c>
      <c r="C421">
        <v>46875000</v>
      </c>
      <c r="D421">
        <v>25000</v>
      </c>
    </row>
    <row r="422" spans="1:4" x14ac:dyDescent="0.25">
      <c r="A422" t="str">
        <f>T("   TG")</f>
        <v xml:space="preserve">   TG</v>
      </c>
      <c r="B422" t="str">
        <f>T("   Togo")</f>
        <v xml:space="preserve">   Togo</v>
      </c>
      <c r="C422">
        <v>46875000</v>
      </c>
      <c r="D422">
        <v>25000</v>
      </c>
    </row>
    <row r="423" spans="1:4" x14ac:dyDescent="0.25">
      <c r="A423" t="str">
        <f>T("391590")</f>
        <v>391590</v>
      </c>
      <c r="B423"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424" spans="1:4" x14ac:dyDescent="0.25">
      <c r="A424" t="str">
        <f>T("   ZZZ_Monde")</f>
        <v xml:space="preserve">   ZZZ_Monde</v>
      </c>
      <c r="B424" t="str">
        <f>T("   ZZZ_Monde")</f>
        <v xml:space="preserve">   ZZZ_Monde</v>
      </c>
      <c r="C424">
        <v>5663125</v>
      </c>
      <c r="D424">
        <v>226525</v>
      </c>
    </row>
    <row r="425" spans="1:4" x14ac:dyDescent="0.25">
      <c r="A425" t="str">
        <f>T("   TG")</f>
        <v xml:space="preserve">   TG</v>
      </c>
      <c r="B425" t="str">
        <f>T("   Togo")</f>
        <v xml:space="preserve">   Togo</v>
      </c>
      <c r="C425">
        <v>5663125</v>
      </c>
      <c r="D425">
        <v>226525</v>
      </c>
    </row>
    <row r="426" spans="1:4" x14ac:dyDescent="0.25">
      <c r="A426" t="str">
        <f>T("391721")</f>
        <v>391721</v>
      </c>
      <c r="B426" t="str">
        <f>T("TUBES ET TUYAUX RIGIDES, EN POLYMÈRES DE L'ÉTHYLÈNE")</f>
        <v>TUBES ET TUYAUX RIGIDES, EN POLYMÈRES DE L'ÉTHYLÈNE</v>
      </c>
    </row>
    <row r="427" spans="1:4" x14ac:dyDescent="0.25">
      <c r="A427" t="str">
        <f>T("   ZZZ_Monde")</f>
        <v xml:space="preserve">   ZZZ_Monde</v>
      </c>
      <c r="B427" t="str">
        <f>T("   ZZZ_Monde")</f>
        <v xml:space="preserve">   ZZZ_Monde</v>
      </c>
      <c r="C427">
        <v>1245994928</v>
      </c>
      <c r="D427">
        <v>2998976</v>
      </c>
    </row>
    <row r="428" spans="1:4" x14ac:dyDescent="0.25">
      <c r="A428" t="str">
        <f>T("   BF")</f>
        <v xml:space="preserve">   BF</v>
      </c>
      <c r="B428" t="str">
        <f>T("   Burkina Faso")</f>
        <v xml:space="preserve">   Burkina Faso</v>
      </c>
      <c r="C428">
        <v>359472500</v>
      </c>
      <c r="D428">
        <v>74800</v>
      </c>
    </row>
    <row r="429" spans="1:4" x14ac:dyDescent="0.25">
      <c r="A429" t="str">
        <f>T("   NE")</f>
        <v xml:space="preserve">   NE</v>
      </c>
      <c r="B429" t="str">
        <f>T("   Niger")</f>
        <v xml:space="preserve">   Niger</v>
      </c>
      <c r="C429">
        <v>21693500</v>
      </c>
      <c r="D429">
        <v>39362</v>
      </c>
    </row>
    <row r="430" spans="1:4" x14ac:dyDescent="0.25">
      <c r="A430" t="str">
        <f>T("   NG")</f>
        <v xml:space="preserve">   NG</v>
      </c>
      <c r="B430" t="str">
        <f>T("   Nigéria")</f>
        <v xml:space="preserve">   Nigéria</v>
      </c>
      <c r="C430">
        <v>735416928</v>
      </c>
      <c r="D430">
        <v>2752464</v>
      </c>
    </row>
    <row r="431" spans="1:4" x14ac:dyDescent="0.25">
      <c r="A431" t="str">
        <f>T("   TD")</f>
        <v xml:space="preserve">   TD</v>
      </c>
      <c r="B431" t="str">
        <f>T("   Tchad")</f>
        <v xml:space="preserve">   Tchad</v>
      </c>
      <c r="C431">
        <v>42560000</v>
      </c>
      <c r="D431">
        <v>36000</v>
      </c>
    </row>
    <row r="432" spans="1:4" x14ac:dyDescent="0.25">
      <c r="A432" t="str">
        <f>T("   TG")</f>
        <v xml:space="preserve">   TG</v>
      </c>
      <c r="B432" t="str">
        <f>T("   Togo")</f>
        <v xml:space="preserve">   Togo</v>
      </c>
      <c r="C432">
        <v>86852000</v>
      </c>
      <c r="D432">
        <v>96350</v>
      </c>
    </row>
    <row r="433" spans="1:4" x14ac:dyDescent="0.25">
      <c r="A433" t="str">
        <f>T("391723")</f>
        <v>391723</v>
      </c>
      <c r="B433" t="str">
        <f>T("TUBES ET TUYAUX RIGIDES, EN POLYMÈRES DU CHLORURE DE VINYLE")</f>
        <v>TUBES ET TUYAUX RIGIDES, EN POLYMÈRES DU CHLORURE DE VINYLE</v>
      </c>
    </row>
    <row r="434" spans="1:4" x14ac:dyDescent="0.25">
      <c r="A434" t="str">
        <f>T("   ZZZ_Monde")</f>
        <v xml:space="preserve">   ZZZ_Monde</v>
      </c>
      <c r="B434" t="str">
        <f>T("   ZZZ_Monde")</f>
        <v xml:space="preserve">   ZZZ_Monde</v>
      </c>
      <c r="C434">
        <v>87812320</v>
      </c>
      <c r="D434">
        <v>20132149.460000001</v>
      </c>
    </row>
    <row r="435" spans="1:4" x14ac:dyDescent="0.25">
      <c r="A435" t="str">
        <f>T("   GH")</f>
        <v xml:space="preserve">   GH</v>
      </c>
      <c r="B435" t="str">
        <f>T("   Ghana")</f>
        <v xml:space="preserve">   Ghana</v>
      </c>
      <c r="C435">
        <v>17922835</v>
      </c>
      <c r="D435">
        <v>22229.32</v>
      </c>
    </row>
    <row r="436" spans="1:4" x14ac:dyDescent="0.25">
      <c r="A436" t="str">
        <f>T("   NG")</f>
        <v xml:space="preserve">   NG</v>
      </c>
      <c r="B436" t="str">
        <f>T("   Nigéria")</f>
        <v xml:space="preserve">   Nigéria</v>
      </c>
      <c r="C436">
        <v>20574960</v>
      </c>
      <c r="D436">
        <v>17160</v>
      </c>
    </row>
    <row r="437" spans="1:4" x14ac:dyDescent="0.25">
      <c r="A437" t="str">
        <f>T("   TG")</f>
        <v xml:space="preserve">   TG</v>
      </c>
      <c r="B437" t="str">
        <f>T("   Togo")</f>
        <v xml:space="preserve">   Togo</v>
      </c>
      <c r="C437">
        <v>49314525</v>
      </c>
      <c r="D437">
        <v>20092760.140000001</v>
      </c>
    </row>
    <row r="438" spans="1:4" x14ac:dyDescent="0.25">
      <c r="A438" t="str">
        <f>T("391729")</f>
        <v>391729</v>
      </c>
      <c r="B438"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39" spans="1:4" x14ac:dyDescent="0.25">
      <c r="A439" t="str">
        <f>T("   ZZZ_Monde")</f>
        <v xml:space="preserve">   ZZZ_Monde</v>
      </c>
      <c r="B439" t="str">
        <f>T("   ZZZ_Monde")</f>
        <v xml:space="preserve">   ZZZ_Monde</v>
      </c>
      <c r="C439">
        <v>264848</v>
      </c>
      <c r="D439">
        <v>2932</v>
      </c>
    </row>
    <row r="440" spans="1:4" x14ac:dyDescent="0.25">
      <c r="A440" t="str">
        <f>T("   GH")</f>
        <v xml:space="preserve">   GH</v>
      </c>
      <c r="B440" t="str">
        <f>T("   Ghana")</f>
        <v xml:space="preserve">   Ghana</v>
      </c>
      <c r="C440">
        <v>264848</v>
      </c>
      <c r="D440">
        <v>2932</v>
      </c>
    </row>
    <row r="441" spans="1:4" x14ac:dyDescent="0.25">
      <c r="A441" t="str">
        <f>T("391739")</f>
        <v>391739</v>
      </c>
      <c r="B441"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42" spans="1:4" x14ac:dyDescent="0.25">
      <c r="A442" t="str">
        <f>T("   ZZZ_Monde")</f>
        <v xml:space="preserve">   ZZZ_Monde</v>
      </c>
      <c r="B442" t="str">
        <f>T("   ZZZ_Monde")</f>
        <v xml:space="preserve">   ZZZ_Monde</v>
      </c>
      <c r="C442">
        <v>72798644</v>
      </c>
      <c r="D442">
        <v>78885.98</v>
      </c>
    </row>
    <row r="443" spans="1:4" x14ac:dyDescent="0.25">
      <c r="A443" t="str">
        <f>T("   GH")</f>
        <v xml:space="preserve">   GH</v>
      </c>
      <c r="B443" t="str">
        <f>T("   Ghana")</f>
        <v xml:space="preserve">   Ghana</v>
      </c>
      <c r="C443">
        <v>13917800</v>
      </c>
      <c r="D443">
        <v>35975.300000000003</v>
      </c>
    </row>
    <row r="444" spans="1:4" x14ac:dyDescent="0.25">
      <c r="A444" t="str">
        <f>T("   TG")</f>
        <v xml:space="preserve">   TG</v>
      </c>
      <c r="B444" t="str">
        <f>T("   Togo")</f>
        <v xml:space="preserve">   Togo</v>
      </c>
      <c r="C444">
        <v>58880844</v>
      </c>
      <c r="D444">
        <v>42910.68</v>
      </c>
    </row>
    <row r="445" spans="1:4" x14ac:dyDescent="0.25">
      <c r="A445" t="str">
        <f>T("391910")</f>
        <v>391910</v>
      </c>
      <c r="B445" t="str">
        <f>T("Feuilles, bandes, rubans, pellicules et autres formes plates, auto-adhésifs, en matières plastiques, en rouleaux d'une largeur &lt;= 20 cm")</f>
        <v>Feuilles, bandes, rubans, pellicules et autres formes plates, auto-adhésifs, en matières plastiques, en rouleaux d'une largeur &lt;= 20 cm</v>
      </c>
    </row>
    <row r="446" spans="1:4" x14ac:dyDescent="0.25">
      <c r="A446" t="str">
        <f>T("   ZZZ_Monde")</f>
        <v xml:space="preserve">   ZZZ_Monde</v>
      </c>
      <c r="B446" t="str">
        <f>T("   ZZZ_Monde")</f>
        <v xml:space="preserve">   ZZZ_Monde</v>
      </c>
      <c r="C446">
        <v>1971284</v>
      </c>
      <c r="D446">
        <v>1665</v>
      </c>
    </row>
    <row r="447" spans="1:4" x14ac:dyDescent="0.25">
      <c r="A447" t="str">
        <f>T("   TG")</f>
        <v xml:space="preserve">   TG</v>
      </c>
      <c r="B447" t="str">
        <f>T("   Togo")</f>
        <v xml:space="preserve">   Togo</v>
      </c>
      <c r="C447">
        <v>1971284</v>
      </c>
      <c r="D447">
        <v>1665</v>
      </c>
    </row>
    <row r="448" spans="1:4" x14ac:dyDescent="0.25">
      <c r="A448" t="str">
        <f>T("391990")</f>
        <v>391990</v>
      </c>
      <c r="B448" t="str">
        <f>T("Plaques, feuilles, bandes, rubans, pellicules et autres formes plates, auto-adhésifs, en matières plastiques, même en rouleaux (à l'excl. des produits en rouleaux d'une largeur &lt;= 20 cm ainsi que des revêtements de sols, de murs ou de plafonds du n° 3918)")</f>
        <v>Plaques, feuilles, bandes, rubans, pellicules et autres formes plates, auto-adhésifs, en matières plastiques, même en rouleaux (à l'excl. des produits en rouleaux d'une largeur &lt;= 20 cm ainsi que des revêtements de sols, de murs ou de plafonds du n° 3918)</v>
      </c>
    </row>
    <row r="449" spans="1:4" x14ac:dyDescent="0.25">
      <c r="A449" t="str">
        <f>T("   ZZZ_Monde")</f>
        <v xml:space="preserve">   ZZZ_Monde</v>
      </c>
      <c r="B449" t="str">
        <f>T("   ZZZ_Monde")</f>
        <v xml:space="preserve">   ZZZ_Monde</v>
      </c>
      <c r="C449">
        <v>1437500</v>
      </c>
      <c r="D449">
        <v>1281</v>
      </c>
    </row>
    <row r="450" spans="1:4" x14ac:dyDescent="0.25">
      <c r="A450" t="str">
        <f>T("   GH")</f>
        <v xml:space="preserve">   GH</v>
      </c>
      <c r="B450" t="str">
        <f>T("   Ghana")</f>
        <v xml:space="preserve">   Ghana</v>
      </c>
      <c r="C450">
        <v>1437500</v>
      </c>
      <c r="D450">
        <v>1281</v>
      </c>
    </row>
    <row r="451" spans="1:4" x14ac:dyDescent="0.25">
      <c r="A451" t="str">
        <f>T("392210")</f>
        <v>392210</v>
      </c>
      <c r="B451" t="str">
        <f>T("Baignoires, douches, éviers et lavabos, en matières plastiques")</f>
        <v>Baignoires, douches, éviers et lavabos, en matières plastiques</v>
      </c>
    </row>
    <row r="452" spans="1:4" x14ac:dyDescent="0.25">
      <c r="A452" t="str">
        <f>T("   ZZZ_Monde")</f>
        <v xml:space="preserve">   ZZZ_Monde</v>
      </c>
      <c r="B452" t="str">
        <f>T("   ZZZ_Monde")</f>
        <v xml:space="preserve">   ZZZ_Monde</v>
      </c>
      <c r="C452">
        <v>33550000</v>
      </c>
      <c r="D452">
        <v>12200</v>
      </c>
    </row>
    <row r="453" spans="1:4" x14ac:dyDescent="0.25">
      <c r="A453" t="str">
        <f>T("   AE")</f>
        <v xml:space="preserve">   AE</v>
      </c>
      <c r="B453" t="str">
        <f>T("   Emirats Arabes Unis")</f>
        <v xml:space="preserve">   Emirats Arabes Unis</v>
      </c>
      <c r="C453">
        <v>33550000</v>
      </c>
      <c r="D453">
        <v>12200</v>
      </c>
    </row>
    <row r="454" spans="1:4" x14ac:dyDescent="0.25">
      <c r="A454" t="str">
        <f>T("392290")</f>
        <v>392290</v>
      </c>
      <c r="B454" t="str">
        <f>T("Bidets, cuvettes d'aisance, réservoirs de chasse et articles simil. pour usages sanitaires ou hygiéniques, en matières plastiques (à l'excl. des baignoires, des douches, d'éviers, des lavabos ainsi que des sièges et couvercles de cuvettes d'aisance)")</f>
        <v>Bidets, cuvettes d'aisance, réservoirs de chasse et articles simil. pour usages sanitaires ou hygiéniques, en matières plastiques (à l'excl. des baignoires, des douches, d'éviers, des lavabos ainsi que des sièges et couvercles de cuvettes d'aisance)</v>
      </c>
    </row>
    <row r="455" spans="1:4" x14ac:dyDescent="0.25">
      <c r="A455" t="str">
        <f>T("   ZZZ_Monde")</f>
        <v xml:space="preserve">   ZZZ_Monde</v>
      </c>
      <c r="B455" t="str">
        <f>T("   ZZZ_Monde")</f>
        <v xml:space="preserve">   ZZZ_Monde</v>
      </c>
      <c r="C455">
        <v>120000</v>
      </c>
      <c r="D455">
        <v>40</v>
      </c>
    </row>
    <row r="456" spans="1:4" x14ac:dyDescent="0.25">
      <c r="A456" t="str">
        <f>T("   CG")</f>
        <v xml:space="preserve">   CG</v>
      </c>
      <c r="B456" t="str">
        <f>T("   Congo (Brazzaville)")</f>
        <v xml:space="preserve">   Congo (Brazzaville)</v>
      </c>
      <c r="C456">
        <v>120000</v>
      </c>
      <c r="D456">
        <v>40</v>
      </c>
    </row>
    <row r="457" spans="1:4" x14ac:dyDescent="0.25">
      <c r="A457" t="str">
        <f>T("392310")</f>
        <v>392310</v>
      </c>
      <c r="B457" t="str">
        <f>T("Boîtes, caisses, casiers et articles simil. pour le transport ou l'emballage, en matières plastiques")</f>
        <v>Boîtes, caisses, casiers et articles simil. pour le transport ou l'emballage, en matières plastiques</v>
      </c>
    </row>
    <row r="458" spans="1:4" x14ac:dyDescent="0.25">
      <c r="A458" t="str">
        <f>T("   ZZZ_Monde")</f>
        <v xml:space="preserve">   ZZZ_Monde</v>
      </c>
      <c r="B458" t="str">
        <f>T("   ZZZ_Monde")</f>
        <v xml:space="preserve">   ZZZ_Monde</v>
      </c>
      <c r="C458">
        <v>4170000</v>
      </c>
      <c r="D458">
        <v>14850</v>
      </c>
    </row>
    <row r="459" spans="1:4" x14ac:dyDescent="0.25">
      <c r="A459" t="str">
        <f>T("   GH")</f>
        <v xml:space="preserve">   GH</v>
      </c>
      <c r="B459" t="str">
        <f>T("   Ghana")</f>
        <v xml:space="preserve">   Ghana</v>
      </c>
      <c r="C459">
        <v>1390000</v>
      </c>
      <c r="D459">
        <v>4950</v>
      </c>
    </row>
    <row r="460" spans="1:4" x14ac:dyDescent="0.25">
      <c r="A460" t="str">
        <f>T("   TG")</f>
        <v xml:space="preserve">   TG</v>
      </c>
      <c r="B460" t="str">
        <f>T("   Togo")</f>
        <v xml:space="preserve">   Togo</v>
      </c>
      <c r="C460">
        <v>2780000</v>
      </c>
      <c r="D460">
        <v>9900</v>
      </c>
    </row>
    <row r="461" spans="1:4" x14ac:dyDescent="0.25">
      <c r="A461" t="str">
        <f>T("392321")</f>
        <v>392321</v>
      </c>
      <c r="B461" t="str">
        <f>T("Sacs, sachets, pochettes et cornets, en polymères de l'éthylène")</f>
        <v>Sacs, sachets, pochettes et cornets, en polymères de l'éthylène</v>
      </c>
    </row>
    <row r="462" spans="1:4" x14ac:dyDescent="0.25">
      <c r="A462" t="str">
        <f>T("   ZZZ_Monde")</f>
        <v xml:space="preserve">   ZZZ_Monde</v>
      </c>
      <c r="B462" t="str">
        <f>T("   ZZZ_Monde")</f>
        <v xml:space="preserve">   ZZZ_Monde</v>
      </c>
      <c r="C462">
        <v>65201936</v>
      </c>
      <c r="D462">
        <v>46022</v>
      </c>
    </row>
    <row r="463" spans="1:4" x14ac:dyDescent="0.25">
      <c r="A463" t="str">
        <f>T("   CN")</f>
        <v xml:space="preserve">   CN</v>
      </c>
      <c r="B463" t="str">
        <f>T("   Chine")</f>
        <v xml:space="preserve">   Chine</v>
      </c>
      <c r="C463">
        <v>59873460</v>
      </c>
      <c r="D463">
        <v>41437</v>
      </c>
    </row>
    <row r="464" spans="1:4" x14ac:dyDescent="0.25">
      <c r="A464" t="str">
        <f>T("   MY")</f>
        <v xml:space="preserve">   MY</v>
      </c>
      <c r="B464" t="str">
        <f>T("   Malaisie")</f>
        <v xml:space="preserve">   Malaisie</v>
      </c>
      <c r="C464">
        <v>5328476</v>
      </c>
      <c r="D464">
        <v>4585</v>
      </c>
    </row>
    <row r="465" spans="1:4" x14ac:dyDescent="0.25">
      <c r="A465" t="str">
        <f>T("392329")</f>
        <v>392329</v>
      </c>
      <c r="B465" t="str">
        <f>T("Sacs, sachets, pochettes et cornets, en matières plastiques (autres que les polymères de l'éthylène)")</f>
        <v>Sacs, sachets, pochettes et cornets, en matières plastiques (autres que les polymères de l'éthylène)</v>
      </c>
    </row>
    <row r="466" spans="1:4" x14ac:dyDescent="0.25">
      <c r="A466" t="str">
        <f>T("   ZZZ_Monde")</f>
        <v xml:space="preserve">   ZZZ_Monde</v>
      </c>
      <c r="B466" t="str">
        <f>T("   ZZZ_Monde")</f>
        <v xml:space="preserve">   ZZZ_Monde</v>
      </c>
      <c r="C466">
        <v>5207631</v>
      </c>
      <c r="D466">
        <v>14588</v>
      </c>
    </row>
    <row r="467" spans="1:4" x14ac:dyDescent="0.25">
      <c r="A467" t="str">
        <f>T("   FR")</f>
        <v xml:space="preserve">   FR</v>
      </c>
      <c r="B467" t="str">
        <f>T("   France")</f>
        <v xml:space="preserve">   France</v>
      </c>
      <c r="C467">
        <v>2096019</v>
      </c>
      <c r="D467">
        <v>588</v>
      </c>
    </row>
    <row r="468" spans="1:4" x14ac:dyDescent="0.25">
      <c r="A468" t="str">
        <f>T("   GH")</f>
        <v xml:space="preserve">   GH</v>
      </c>
      <c r="B468" t="str">
        <f>T("   Ghana")</f>
        <v xml:space="preserve">   Ghana</v>
      </c>
      <c r="C468">
        <v>3111612</v>
      </c>
      <c r="D468">
        <v>14000</v>
      </c>
    </row>
    <row r="469" spans="1:4" x14ac:dyDescent="0.25">
      <c r="A469" t="str">
        <f>T("392330")</f>
        <v>392330</v>
      </c>
      <c r="B469" t="str">
        <f>T("Bonbonnes, bouteilles, flacons et articles simil. pour le transport ou l'emballage, en matières plastiques")</f>
        <v>Bonbonnes, bouteilles, flacons et articles simil. pour le transport ou l'emballage, en matières plastiques</v>
      </c>
    </row>
    <row r="470" spans="1:4" x14ac:dyDescent="0.25">
      <c r="A470" t="str">
        <f>T("   ZZZ_Monde")</f>
        <v xml:space="preserve">   ZZZ_Monde</v>
      </c>
      <c r="B470" t="str">
        <f>T("   ZZZ_Monde")</f>
        <v xml:space="preserve">   ZZZ_Monde</v>
      </c>
      <c r="C470">
        <v>3950000</v>
      </c>
      <c r="D470">
        <v>14000</v>
      </c>
    </row>
    <row r="471" spans="1:4" x14ac:dyDescent="0.25">
      <c r="A471" t="str">
        <f>T("   FR")</f>
        <v xml:space="preserve">   FR</v>
      </c>
      <c r="B471" t="str">
        <f>T("   France")</f>
        <v xml:space="preserve">   France</v>
      </c>
      <c r="C471">
        <v>2000000</v>
      </c>
      <c r="D471">
        <v>1000</v>
      </c>
    </row>
    <row r="472" spans="1:4" x14ac:dyDescent="0.25">
      <c r="A472" t="str">
        <f>T("   GH")</f>
        <v xml:space="preserve">   GH</v>
      </c>
      <c r="B472" t="str">
        <f>T("   Ghana")</f>
        <v xml:space="preserve">   Ghana</v>
      </c>
      <c r="C472">
        <v>1950000</v>
      </c>
      <c r="D472">
        <v>13000</v>
      </c>
    </row>
    <row r="473" spans="1:4" x14ac:dyDescent="0.25">
      <c r="A473" t="str">
        <f>T("392490")</f>
        <v>392490</v>
      </c>
      <c r="B473"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74" spans="1:4" x14ac:dyDescent="0.25">
      <c r="A474" t="str">
        <f>T("   ZZZ_Monde")</f>
        <v xml:space="preserve">   ZZZ_Monde</v>
      </c>
      <c r="B474" t="str">
        <f>T("   ZZZ_Monde")</f>
        <v xml:space="preserve">   ZZZ_Monde</v>
      </c>
      <c r="C474">
        <v>1215000</v>
      </c>
      <c r="D474">
        <v>20000</v>
      </c>
    </row>
    <row r="475" spans="1:4" x14ac:dyDescent="0.25">
      <c r="A475" t="str">
        <f>T("   GA")</f>
        <v xml:space="preserve">   GA</v>
      </c>
      <c r="B475" t="str">
        <f>T("   Gabon")</f>
        <v xml:space="preserve">   Gabon</v>
      </c>
      <c r="C475">
        <v>1215000</v>
      </c>
      <c r="D475">
        <v>20000</v>
      </c>
    </row>
    <row r="476" spans="1:4" x14ac:dyDescent="0.25">
      <c r="A476" t="str">
        <f>T("392690")</f>
        <v>392690</v>
      </c>
      <c r="B476" t="str">
        <f>T("Ouvrages en matières plastiques et ouvrages en autres matières du n° 3901 à 3914, n.d.a.")</f>
        <v>Ouvrages en matières plastiques et ouvrages en autres matières du n° 3901 à 3914, n.d.a.</v>
      </c>
    </row>
    <row r="477" spans="1:4" x14ac:dyDescent="0.25">
      <c r="A477" t="str">
        <f>T("   ZZZ_Monde")</f>
        <v xml:space="preserve">   ZZZ_Monde</v>
      </c>
      <c r="B477" t="str">
        <f>T("   ZZZ_Monde")</f>
        <v xml:space="preserve">   ZZZ_Monde</v>
      </c>
      <c r="C477">
        <v>470000</v>
      </c>
      <c r="D477">
        <v>1000</v>
      </c>
    </row>
    <row r="478" spans="1:4" x14ac:dyDescent="0.25">
      <c r="A478" t="str">
        <f>T("   GA")</f>
        <v xml:space="preserve">   GA</v>
      </c>
      <c r="B478" t="str">
        <f>T("   Gabon")</f>
        <v xml:space="preserve">   Gabon</v>
      </c>
      <c r="C478">
        <v>470000</v>
      </c>
      <c r="D478">
        <v>1000</v>
      </c>
    </row>
    <row r="479" spans="1:4" x14ac:dyDescent="0.25">
      <c r="A479" t="str">
        <f>T("401120")</f>
        <v>401120</v>
      </c>
      <c r="B479"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80" spans="1:4" x14ac:dyDescent="0.25">
      <c r="A480" t="str">
        <f>T("   ZZZ_Monde")</f>
        <v xml:space="preserve">   ZZZ_Monde</v>
      </c>
      <c r="B480" t="str">
        <f>T("   ZZZ_Monde")</f>
        <v xml:space="preserve">   ZZZ_Monde</v>
      </c>
      <c r="C480">
        <v>22000000</v>
      </c>
      <c r="D480">
        <v>4950</v>
      </c>
    </row>
    <row r="481" spans="1:4" x14ac:dyDescent="0.25">
      <c r="A481" t="str">
        <f>T("   MA")</f>
        <v xml:space="preserve">   MA</v>
      </c>
      <c r="B481" t="str">
        <f>T("   Maroc")</f>
        <v xml:space="preserve">   Maroc</v>
      </c>
      <c r="C481">
        <v>22000000</v>
      </c>
      <c r="D481">
        <v>4950</v>
      </c>
    </row>
    <row r="482" spans="1:4" x14ac:dyDescent="0.25">
      <c r="A482" t="str">
        <f>T("401211")</f>
        <v>401211</v>
      </c>
      <c r="B482"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483" spans="1:4" x14ac:dyDescent="0.25">
      <c r="A483" t="str">
        <f>T("   ZZZ_Monde")</f>
        <v xml:space="preserve">   ZZZ_Monde</v>
      </c>
      <c r="B483" t="str">
        <f>T("   ZZZ_Monde")</f>
        <v xml:space="preserve">   ZZZ_Monde</v>
      </c>
      <c r="C483">
        <v>3000000</v>
      </c>
      <c r="D483">
        <v>8000</v>
      </c>
    </row>
    <row r="484" spans="1:4" x14ac:dyDescent="0.25">
      <c r="A484" t="str">
        <f>T("   GQ")</f>
        <v xml:space="preserve">   GQ</v>
      </c>
      <c r="B484" t="str">
        <f>T("   Guinée Equatoriale")</f>
        <v xml:space="preserve">   Guinée Equatoriale</v>
      </c>
      <c r="C484">
        <v>3000000</v>
      </c>
      <c r="D484">
        <v>8000</v>
      </c>
    </row>
    <row r="485" spans="1:4" x14ac:dyDescent="0.25">
      <c r="A485" t="str">
        <f>T("401220")</f>
        <v>401220</v>
      </c>
      <c r="B485" t="str">
        <f>T("Pneumatiques usagés, en caoutchouc")</f>
        <v>Pneumatiques usagés, en caoutchouc</v>
      </c>
    </row>
    <row r="486" spans="1:4" x14ac:dyDescent="0.25">
      <c r="A486" t="str">
        <f>T("   ZZZ_Monde")</f>
        <v xml:space="preserve">   ZZZ_Monde</v>
      </c>
      <c r="B486" t="str">
        <f>T("   ZZZ_Monde")</f>
        <v xml:space="preserve">   ZZZ_Monde</v>
      </c>
      <c r="C486">
        <v>400000</v>
      </c>
      <c r="D486">
        <v>1000</v>
      </c>
    </row>
    <row r="487" spans="1:4" x14ac:dyDescent="0.25">
      <c r="A487" t="str">
        <f>T("   GA")</f>
        <v xml:space="preserve">   GA</v>
      </c>
      <c r="B487" t="str">
        <f>T("   Gabon")</f>
        <v xml:space="preserve">   Gabon</v>
      </c>
      <c r="C487">
        <v>400000</v>
      </c>
      <c r="D487">
        <v>1000</v>
      </c>
    </row>
    <row r="488" spans="1:4" x14ac:dyDescent="0.25">
      <c r="A488" t="str">
        <f>T("401290")</f>
        <v>401290</v>
      </c>
      <c r="B488" t="str">
        <f>T("Bandages pleins ou creux [mi-pleins], bandes de roulement amovibles pour pneumatiques et flaps, en caoutchouc")</f>
        <v>Bandages pleins ou creux [mi-pleins], bandes de roulement amovibles pour pneumatiques et flaps, en caoutchouc</v>
      </c>
    </row>
    <row r="489" spans="1:4" x14ac:dyDescent="0.25">
      <c r="A489" t="str">
        <f>T("   ZZZ_Monde")</f>
        <v xml:space="preserve">   ZZZ_Monde</v>
      </c>
      <c r="B489" t="str">
        <f>T("   ZZZ_Monde")</f>
        <v xml:space="preserve">   ZZZ_Monde</v>
      </c>
      <c r="C489">
        <v>223026</v>
      </c>
      <c r="D489">
        <v>2774</v>
      </c>
    </row>
    <row r="490" spans="1:4" x14ac:dyDescent="0.25">
      <c r="A490" t="str">
        <f>T("   GN")</f>
        <v xml:space="preserve">   GN</v>
      </c>
      <c r="B490" t="str">
        <f>T("   Guinée")</f>
        <v xml:space="preserve">   Guinée</v>
      </c>
      <c r="C490">
        <v>223026</v>
      </c>
      <c r="D490">
        <v>2774</v>
      </c>
    </row>
    <row r="491" spans="1:4" x14ac:dyDescent="0.25">
      <c r="A491" t="str">
        <f>T("401410")</f>
        <v>401410</v>
      </c>
      <c r="B491" t="str">
        <f>T("Préservatifs en caoutchouc vulcanisé non durci")</f>
        <v>Préservatifs en caoutchouc vulcanisé non durci</v>
      </c>
    </row>
    <row r="492" spans="1:4" x14ac:dyDescent="0.25">
      <c r="A492" t="str">
        <f>T("   ZZZ_Monde")</f>
        <v xml:space="preserve">   ZZZ_Monde</v>
      </c>
      <c r="B492" t="str">
        <f>T("   ZZZ_Monde")</f>
        <v xml:space="preserve">   ZZZ_Monde</v>
      </c>
      <c r="C492">
        <v>1000000</v>
      </c>
      <c r="D492">
        <v>8000</v>
      </c>
    </row>
    <row r="493" spans="1:4" x14ac:dyDescent="0.25">
      <c r="A493" t="str">
        <f>T("   TG")</f>
        <v xml:space="preserve">   TG</v>
      </c>
      <c r="B493" t="str">
        <f>T("   Togo")</f>
        <v xml:space="preserve">   Togo</v>
      </c>
      <c r="C493">
        <v>1000000</v>
      </c>
      <c r="D493">
        <v>8000</v>
      </c>
    </row>
    <row r="494" spans="1:4" x14ac:dyDescent="0.25">
      <c r="A494" t="str">
        <f>T("410530")</f>
        <v>410530</v>
      </c>
      <c r="B494" t="str">
        <f>T("PEAUX D'OVINS, À L'ÉTAT SEC [EN CROÛTE], ÉPILÉES, MÊME REFENDUES (SAUF AUTREMENT PRÉPARÉÉS AINSI QUE SIMPL. PRÉTANNÉES)")</f>
        <v>PEAUX D'OVINS, À L'ÉTAT SEC [EN CROÛTE], ÉPILÉES, MÊME REFENDUES (SAUF AUTREMENT PRÉPARÉÉS AINSI QUE SIMPL. PRÉTANNÉES)</v>
      </c>
    </row>
    <row r="495" spans="1:4" x14ac:dyDescent="0.25">
      <c r="A495" t="str">
        <f>T("   ZZZ_Monde")</f>
        <v xml:space="preserve">   ZZZ_Monde</v>
      </c>
      <c r="B495" t="str">
        <f>T("   ZZZ_Monde")</f>
        <v xml:space="preserve">   ZZZ_Monde</v>
      </c>
      <c r="C495">
        <v>37345000</v>
      </c>
      <c r="D495">
        <v>23749</v>
      </c>
    </row>
    <row r="496" spans="1:4" x14ac:dyDescent="0.25">
      <c r="A496" t="str">
        <f>T("   CN")</f>
        <v xml:space="preserve">   CN</v>
      </c>
      <c r="B496" t="str">
        <f>T("   Chine")</f>
        <v xml:space="preserve">   Chine</v>
      </c>
      <c r="C496">
        <v>22645000</v>
      </c>
      <c r="D496">
        <v>15609</v>
      </c>
    </row>
    <row r="497" spans="1:4" x14ac:dyDescent="0.25">
      <c r="A497" t="str">
        <f>T("   PK")</f>
        <v xml:space="preserve">   PK</v>
      </c>
      <c r="B497" t="str">
        <f>T("   Pakistan")</f>
        <v xml:space="preserve">   Pakistan</v>
      </c>
      <c r="C497">
        <v>14700000</v>
      </c>
      <c r="D497">
        <v>8140</v>
      </c>
    </row>
    <row r="498" spans="1:4" x14ac:dyDescent="0.25">
      <c r="A498" t="str">
        <f>T("420219")</f>
        <v>420219</v>
      </c>
      <c r="B498" t="str">
        <f>T("Malles, valises et mallettes, y.c. les mallettes de toilette et mallettes porte-documents, serviettes, cartables et contenants simil. (à l'excl. des articles à surface extérieure en cuir naturel, reconstitué ou verni, en matières plastiques ou en matières")</f>
        <v>Malles, valises et mallettes, y.c. les mallettes de toilette et mallettes porte-documents, serviettes, cartables et contenants simil. (à l'excl. des articles à surface extérieure en cuir naturel, reconstitué ou verni, en matières plastiques ou en matières</v>
      </c>
    </row>
    <row r="499" spans="1:4" x14ac:dyDescent="0.25">
      <c r="A499" t="str">
        <f>T("   ZZZ_Monde")</f>
        <v xml:space="preserve">   ZZZ_Monde</v>
      </c>
      <c r="B499" t="str">
        <f>T("   ZZZ_Monde")</f>
        <v xml:space="preserve">   ZZZ_Monde</v>
      </c>
      <c r="C499">
        <v>9567475</v>
      </c>
      <c r="D499">
        <v>73310</v>
      </c>
    </row>
    <row r="500" spans="1:4" x14ac:dyDescent="0.25">
      <c r="A500" t="str">
        <f>T("   CG")</f>
        <v xml:space="preserve">   CG</v>
      </c>
      <c r="B500" t="str">
        <f>T("   Congo (Brazzaville)")</f>
        <v xml:space="preserve">   Congo (Brazzaville)</v>
      </c>
      <c r="C500">
        <v>2000000</v>
      </c>
      <c r="D500">
        <v>15810</v>
      </c>
    </row>
    <row r="501" spans="1:4" x14ac:dyDescent="0.25">
      <c r="A501" t="str">
        <f>T("   GA")</f>
        <v xml:space="preserve">   GA</v>
      </c>
      <c r="B501" t="str">
        <f>T("   Gabon")</f>
        <v xml:space="preserve">   Gabon</v>
      </c>
      <c r="C501">
        <v>6000000</v>
      </c>
      <c r="D501">
        <v>57000</v>
      </c>
    </row>
    <row r="502" spans="1:4" x14ac:dyDescent="0.25">
      <c r="A502" t="str">
        <f>T("   LB")</f>
        <v xml:space="preserve">   LB</v>
      </c>
      <c r="B502" t="str">
        <f>T("   Liban")</f>
        <v xml:space="preserve">   Liban</v>
      </c>
      <c r="C502">
        <v>1567475</v>
      </c>
      <c r="D502">
        <v>500</v>
      </c>
    </row>
    <row r="503" spans="1:4" x14ac:dyDescent="0.25">
      <c r="A503" t="str">
        <f>T("420292")</f>
        <v>420292</v>
      </c>
      <c r="B503"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04" spans="1:4" x14ac:dyDescent="0.25">
      <c r="A504" t="str">
        <f>T("   ZZZ_Monde")</f>
        <v xml:space="preserve">   ZZZ_Monde</v>
      </c>
      <c r="B504" t="str">
        <f>T("   ZZZ_Monde")</f>
        <v xml:space="preserve">   ZZZ_Monde</v>
      </c>
      <c r="C504">
        <v>700000</v>
      </c>
      <c r="D504">
        <v>585</v>
      </c>
    </row>
    <row r="505" spans="1:4" x14ac:dyDescent="0.25">
      <c r="A505" t="str">
        <f>T("   TG")</f>
        <v xml:space="preserve">   TG</v>
      </c>
      <c r="B505" t="str">
        <f>T("   Togo")</f>
        <v xml:space="preserve">   Togo</v>
      </c>
      <c r="C505">
        <v>700000</v>
      </c>
      <c r="D505">
        <v>585</v>
      </c>
    </row>
    <row r="506" spans="1:4" x14ac:dyDescent="0.25">
      <c r="A506" t="str">
        <f>T("420299")</f>
        <v>420299</v>
      </c>
      <c r="B506"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07" spans="1:4" x14ac:dyDescent="0.25">
      <c r="A507" t="str">
        <f>T("   ZZZ_Monde")</f>
        <v xml:space="preserve">   ZZZ_Monde</v>
      </c>
      <c r="B507" t="str">
        <f>T("   ZZZ_Monde")</f>
        <v xml:space="preserve">   ZZZ_Monde</v>
      </c>
      <c r="C507">
        <v>3245689</v>
      </c>
      <c r="D507">
        <v>302</v>
      </c>
    </row>
    <row r="508" spans="1:4" x14ac:dyDescent="0.25">
      <c r="A508" t="str">
        <f>T("   NG")</f>
        <v xml:space="preserve">   NG</v>
      </c>
      <c r="B508" t="str">
        <f>T("   Nigéria")</f>
        <v xml:space="preserve">   Nigéria</v>
      </c>
      <c r="C508">
        <v>3245689</v>
      </c>
      <c r="D508">
        <v>302</v>
      </c>
    </row>
    <row r="509" spans="1:4" x14ac:dyDescent="0.25">
      <c r="A509" t="str">
        <f>T("440110")</f>
        <v>440110</v>
      </c>
      <c r="B509" t="str">
        <f>T("BOIS DE CHAUFFAGE EN RONDINS, B¹CHES, RAMILLES, FAGOTS OU SOUS FORMES SIMIL.")</f>
        <v>BOIS DE CHAUFFAGE EN RONDINS, B¹CHES, RAMILLES, FAGOTS OU SOUS FORMES SIMIL.</v>
      </c>
    </row>
    <row r="510" spans="1:4" x14ac:dyDescent="0.25">
      <c r="A510" t="str">
        <f>T("   ZZZ_Monde")</f>
        <v xml:space="preserve">   ZZZ_Monde</v>
      </c>
      <c r="B510" t="str">
        <f>T("   ZZZ_Monde")</f>
        <v xml:space="preserve">   ZZZ_Monde</v>
      </c>
      <c r="C510">
        <v>13000000</v>
      </c>
      <c r="D510">
        <v>130000</v>
      </c>
    </row>
    <row r="511" spans="1:4" x14ac:dyDescent="0.25">
      <c r="A511" t="str">
        <f>T("   CN")</f>
        <v xml:space="preserve">   CN</v>
      </c>
      <c r="B511" t="str">
        <f>T("   Chine")</f>
        <v xml:space="preserve">   Chine</v>
      </c>
      <c r="C511">
        <v>13000000</v>
      </c>
      <c r="D511">
        <v>130000</v>
      </c>
    </row>
    <row r="512" spans="1:4" x14ac:dyDescent="0.25">
      <c r="A512" t="str">
        <f>T("440121")</f>
        <v>440121</v>
      </c>
      <c r="B512" t="str">
        <f>T("Bois de conifères, en plaquettes ou en particules (à l'excl. des bois des espèces utilisées principalement pour la teinture ou le tannage)")</f>
        <v>Bois de conifères, en plaquettes ou en particules (à l'excl. des bois des espèces utilisées principalement pour la teinture ou le tannage)</v>
      </c>
    </row>
    <row r="513" spans="1:4" x14ac:dyDescent="0.25">
      <c r="A513" t="str">
        <f>T("   ZZZ_Monde")</f>
        <v xml:space="preserve">   ZZZ_Monde</v>
      </c>
      <c r="B513" t="str">
        <f>T("   ZZZ_Monde")</f>
        <v xml:space="preserve">   ZZZ_Monde</v>
      </c>
      <c r="C513">
        <v>6120000</v>
      </c>
      <c r="D513">
        <v>40000</v>
      </c>
    </row>
    <row r="514" spans="1:4" x14ac:dyDescent="0.25">
      <c r="A514" t="str">
        <f>T("   CN")</f>
        <v xml:space="preserve">   CN</v>
      </c>
      <c r="B514" t="str">
        <f>T("   Chine")</f>
        <v xml:space="preserve">   Chine</v>
      </c>
      <c r="C514">
        <v>6120000</v>
      </c>
      <c r="D514">
        <v>40000</v>
      </c>
    </row>
    <row r="515" spans="1:4" x14ac:dyDescent="0.25">
      <c r="A515" t="str">
        <f>T("440200")</f>
        <v>440200</v>
      </c>
      <c r="B515" t="str">
        <f>T("Charbon de bois - y.c. le charbon de coques ou de noix -, même aggloméré (à l'excl. des fusains et du charbon de bois conditionné comme médicament, mélangé d'encens ou activé)")</f>
        <v>Charbon de bois - y.c. le charbon de coques ou de noix -, même aggloméré (à l'excl. des fusains et du charbon de bois conditionné comme médicament, mélangé d'encens ou activé)</v>
      </c>
    </row>
    <row r="516" spans="1:4" x14ac:dyDescent="0.25">
      <c r="A516" t="str">
        <f>T("   ZZZ_Monde")</f>
        <v xml:space="preserve">   ZZZ_Monde</v>
      </c>
      <c r="B516" t="str">
        <f>T("   ZZZ_Monde")</f>
        <v xml:space="preserve">   ZZZ_Monde</v>
      </c>
      <c r="C516">
        <v>1017000</v>
      </c>
      <c r="D516">
        <v>33900</v>
      </c>
    </row>
    <row r="517" spans="1:4" x14ac:dyDescent="0.25">
      <c r="A517" t="str">
        <f>T("   DE")</f>
        <v xml:space="preserve">   DE</v>
      </c>
      <c r="B517" t="str">
        <f>T("   Allemagne")</f>
        <v xml:space="preserve">   Allemagne</v>
      </c>
      <c r="C517">
        <v>1017000</v>
      </c>
      <c r="D517">
        <v>33900</v>
      </c>
    </row>
    <row r="518" spans="1:4" x14ac:dyDescent="0.25">
      <c r="A518" t="str">
        <f>T("440310")</f>
        <v>440310</v>
      </c>
      <c r="B518" t="str">
        <f>T("Bois bruts, traités avec une peinture, de la créosote ou d'autres agents de conservation (à l'excl. des bois simplement dégrossis ou arrondis pour cannes, parapluies, manches d'outils ou simil., des traverses en bois pour voies ferrées ou simil. ainsi que")</f>
        <v>Bois bruts, traités avec une peinture, de la créosote ou d'autres agents de conservation (à l'excl. des bois simplement dégrossis ou arrondis pour cannes, parapluies, manches d'outils ou simil., des traverses en bois pour voies ferrées ou simil. ainsi que</v>
      </c>
    </row>
    <row r="519" spans="1:4" x14ac:dyDescent="0.25">
      <c r="A519" t="str">
        <f>T("   ZZZ_Monde")</f>
        <v xml:space="preserve">   ZZZ_Monde</v>
      </c>
      <c r="B519" t="str">
        <f>T("   ZZZ_Monde")</f>
        <v xml:space="preserve">   ZZZ_Monde</v>
      </c>
      <c r="C519">
        <v>37192770</v>
      </c>
      <c r="D519">
        <v>300000</v>
      </c>
    </row>
    <row r="520" spans="1:4" x14ac:dyDescent="0.25">
      <c r="A520" t="str">
        <f>T("   IN")</f>
        <v xml:space="preserve">   IN</v>
      </c>
      <c r="B520" t="str">
        <f>T("   Inde")</f>
        <v xml:space="preserve">   Inde</v>
      </c>
      <c r="C520">
        <v>37192770</v>
      </c>
      <c r="D520">
        <v>300000</v>
      </c>
    </row>
    <row r="521" spans="1:4" x14ac:dyDescent="0.25">
      <c r="A521" t="str">
        <f>T("440320")</f>
        <v>440320</v>
      </c>
      <c r="B521" t="str">
        <f>T("BOIS BRUTS DE CONIFÈRES, MÊME ÉCORCÉS, DÉSAUBIÉRÉS OU ÉQUARRIS (À L'EXCL. DES BOIS TRAITÉS AVEC UNE PEINTURE, DE LA CRÉOSOTE OU D'AUTRES AGENTS DE CONSERVATION, DES BOIS SIMPL. DÉGROSSIS OU ARRONDIS POUR CANNES, PARAPLUIES, MANCHES D'OUTILS OU SIMIL., DES")</f>
        <v>BOIS BRUTS DE CONIFÈRES, MÊME ÉCORCÉS, DÉSAUBIÉRÉS OU ÉQUARRIS (À L'EXCL. DES BOIS TRAITÉS AVEC UNE PEINTURE, DE LA CRÉOSOTE OU D'AUTRES AGENTS DE CONSERVATION, DES BOIS SIMPL. DÉGROSSIS OU ARRONDIS POUR CANNES, PARAPLUIES, MANCHES D'OUTILS OU SIMIL., DES</v>
      </c>
    </row>
    <row r="522" spans="1:4" x14ac:dyDescent="0.25">
      <c r="A522" t="str">
        <f>T("   ZZZ_Monde")</f>
        <v xml:space="preserve">   ZZZ_Monde</v>
      </c>
      <c r="B522" t="str">
        <f>T("   ZZZ_Monde")</f>
        <v xml:space="preserve">   ZZZ_Monde</v>
      </c>
      <c r="C522">
        <v>96175355</v>
      </c>
      <c r="D522">
        <v>958500</v>
      </c>
    </row>
    <row r="523" spans="1:4" x14ac:dyDescent="0.25">
      <c r="A523" t="str">
        <f>T("   CN")</f>
        <v xml:space="preserve">   CN</v>
      </c>
      <c r="B523" t="str">
        <f>T("   Chine")</f>
        <v xml:space="preserve">   Chine</v>
      </c>
      <c r="C523">
        <v>59865919</v>
      </c>
      <c r="D523">
        <v>440000</v>
      </c>
    </row>
    <row r="524" spans="1:4" x14ac:dyDescent="0.25">
      <c r="A524" t="str">
        <f>T("   IN")</f>
        <v xml:space="preserve">   IN</v>
      </c>
      <c r="B524" t="str">
        <f>T("   Inde")</f>
        <v xml:space="preserve">   Inde</v>
      </c>
      <c r="C524">
        <v>36309436</v>
      </c>
      <c r="D524">
        <v>518500</v>
      </c>
    </row>
    <row r="525" spans="1:4" x14ac:dyDescent="0.25">
      <c r="A525" t="str">
        <f>T("440349")</f>
        <v>440349</v>
      </c>
      <c r="B525" t="str">
        <f>T("Bois bruts des bois tropicaux visés à la note 1 de sous-position du présent chapitre, même écorcés, désaubiérés ou équarris (à l'excl. des bois de dark red meranti, light red meranti, meranti bakau, des bois traités avec une peinture, de la créosote ou d'")</f>
        <v>Bois bruts des bois tropicaux visés à la note 1 de sous-position du présent chapitre, même écorcés, désaubiérés ou équarris (à l'excl. des bois de dark red meranti, light red meranti, meranti bakau, des bois traités avec une peinture, de la créosote ou d'</v>
      </c>
    </row>
    <row r="526" spans="1:4" x14ac:dyDescent="0.25">
      <c r="A526" t="str">
        <f>T("   ZZZ_Monde")</f>
        <v xml:space="preserve">   ZZZ_Monde</v>
      </c>
      <c r="B526" t="str">
        <f>T("   ZZZ_Monde")</f>
        <v xml:space="preserve">   ZZZ_Monde</v>
      </c>
      <c r="C526">
        <v>111802550</v>
      </c>
      <c r="D526">
        <v>812000</v>
      </c>
    </row>
    <row r="527" spans="1:4" x14ac:dyDescent="0.25">
      <c r="A527" t="str">
        <f>T("   CN")</f>
        <v xml:space="preserve">   CN</v>
      </c>
      <c r="B527" t="str">
        <f>T("   Chine")</f>
        <v xml:space="preserve">   Chine</v>
      </c>
      <c r="C527">
        <v>6489300</v>
      </c>
      <c r="D527">
        <v>30000</v>
      </c>
    </row>
    <row r="528" spans="1:4" x14ac:dyDescent="0.25">
      <c r="A528" t="str">
        <f>T("   IN")</f>
        <v xml:space="preserve">   IN</v>
      </c>
      <c r="B528" t="str">
        <f>T("   Inde")</f>
        <v xml:space="preserve">   Inde</v>
      </c>
      <c r="C528">
        <v>105313250</v>
      </c>
      <c r="D528">
        <v>782000</v>
      </c>
    </row>
    <row r="529" spans="1:4" x14ac:dyDescent="0.25">
      <c r="A529" t="str">
        <f>T("440399")</f>
        <v>440399</v>
      </c>
      <c r="B529" t="str">
        <f>T("BOIS BRUTS, MÊME ÉCORCÉS, DÉSAUBIÉRÉS OU ÉQUARRIS (SAUF BOIS DE CONIFÈRES, BOIS DE CHÊNE 'QUERCUS SPP.' OU DE HÊTRE 'FAGUS SPP.', BOIS TROPICAUX VISÉS À LA NOTE 1 DE SOUS-POSITION DU PRÉSENT CHAPITRE, BOIS SIMPL. DÉGROSSIS OU ARRONDIS POUR CANNES, PARAPLU")</f>
        <v>BOIS BRUTS, MÊME ÉCORCÉS, DÉSAUBIÉRÉS OU ÉQUARRIS (SAUF BOIS DE CONIFÈRES, BOIS DE CHÊNE 'QUERCUS SPP.' OU DE HÊTRE 'FAGUS SPP.', BOIS TROPICAUX VISÉS À LA NOTE 1 DE SOUS-POSITION DU PRÉSENT CHAPITRE, BOIS SIMPL. DÉGROSSIS OU ARRONDIS POUR CANNES, PARAPLU</v>
      </c>
    </row>
    <row r="530" spans="1:4" x14ac:dyDescent="0.25">
      <c r="A530" t="str">
        <f>T("   ZZZ_Monde")</f>
        <v xml:space="preserve">   ZZZ_Monde</v>
      </c>
      <c r="B530" t="str">
        <f>T("   ZZZ_Monde")</f>
        <v xml:space="preserve">   ZZZ_Monde</v>
      </c>
      <c r="C530">
        <v>480645190</v>
      </c>
      <c r="D530">
        <v>16515859</v>
      </c>
    </row>
    <row r="531" spans="1:4" x14ac:dyDescent="0.25">
      <c r="A531" t="str">
        <f>T("   CH")</f>
        <v xml:space="preserve">   CH</v>
      </c>
      <c r="B531" t="str">
        <f>T("   Suisse")</f>
        <v xml:space="preserve">   Suisse</v>
      </c>
      <c r="C531">
        <v>6000000</v>
      </c>
      <c r="D531">
        <v>670000</v>
      </c>
    </row>
    <row r="532" spans="1:4" x14ac:dyDescent="0.25">
      <c r="A532" t="str">
        <f>T("   CN")</f>
        <v xml:space="preserve">   CN</v>
      </c>
      <c r="B532" t="str">
        <f>T("   Chine")</f>
        <v xml:space="preserve">   Chine</v>
      </c>
      <c r="C532">
        <v>109870500</v>
      </c>
      <c r="D532">
        <v>9300859</v>
      </c>
    </row>
    <row r="533" spans="1:4" x14ac:dyDescent="0.25">
      <c r="A533" t="str">
        <f>T("   IN")</f>
        <v xml:space="preserve">   IN</v>
      </c>
      <c r="B533" t="str">
        <f>T("   Inde")</f>
        <v xml:space="preserve">   Inde</v>
      </c>
      <c r="C533">
        <v>364774690</v>
      </c>
      <c r="D533">
        <v>6545000</v>
      </c>
    </row>
    <row r="534" spans="1:4" x14ac:dyDescent="0.25">
      <c r="A534" t="str">
        <f>T("440410")</f>
        <v>440410</v>
      </c>
      <c r="B534" t="str">
        <f>T("Bois feuillards; échalas fendus; pieux et piquets en bois, appointés, non sciés longitudinalement; bois simplement dégrossis ou arrondis, non tournés ni courbés ni autrement travaillés, pour cannes, parapluies, manches d'outils ou simil.; bois en lames, r")</f>
        <v>Bois feuillards; échalas fendus; pieux et piquets en bois, appointés, non sciés longitudinalement; bois simplement dégrossis ou arrondis, non tournés ni courbés ni autrement travaillés, pour cannes, parapluies, manches d'outils ou simil.; bois en lames, r</v>
      </c>
    </row>
    <row r="535" spans="1:4" x14ac:dyDescent="0.25">
      <c r="A535" t="str">
        <f>T("   ZZZ_Monde")</f>
        <v xml:space="preserve">   ZZZ_Monde</v>
      </c>
      <c r="B535" t="str">
        <f>T("   ZZZ_Monde")</f>
        <v xml:space="preserve">   ZZZ_Monde</v>
      </c>
      <c r="C535">
        <v>8265060</v>
      </c>
      <c r="D535">
        <v>100000</v>
      </c>
    </row>
    <row r="536" spans="1:4" x14ac:dyDescent="0.25">
      <c r="A536" t="str">
        <f>T("   IN")</f>
        <v xml:space="preserve">   IN</v>
      </c>
      <c r="B536" t="str">
        <f>T("   Inde")</f>
        <v xml:space="preserve">   Inde</v>
      </c>
      <c r="C536">
        <v>8265060</v>
      </c>
      <c r="D536">
        <v>100000</v>
      </c>
    </row>
    <row r="537" spans="1:4" x14ac:dyDescent="0.25">
      <c r="A537" t="str">
        <f>T("440420")</f>
        <v>440420</v>
      </c>
      <c r="B537" t="str">
        <f>T("Bois feuillards; échalas fendus; pieux et piquets en bois, appointés, non sciés longitudinalement; bois dégrossis ou arrondis, non tournés ni courbés ni autrement travaillés, pour cannes, manches d'outils ou simil.; bois en lames, rubans et simil. (sauf a")</f>
        <v>Bois feuillards; échalas fendus; pieux et piquets en bois, appointés, non sciés longitudinalement; bois dégrossis ou arrondis, non tournés ni courbés ni autrement travaillés, pour cannes, manches d'outils ou simil.; bois en lames, rubans et simil. (sauf a</v>
      </c>
    </row>
    <row r="538" spans="1:4" x14ac:dyDescent="0.25">
      <c r="A538" t="str">
        <f>T("   ZZZ_Monde")</f>
        <v xml:space="preserve">   ZZZ_Monde</v>
      </c>
      <c r="B538" t="str">
        <f>T("   ZZZ_Monde")</f>
        <v xml:space="preserve">   ZZZ_Monde</v>
      </c>
      <c r="C538">
        <v>366104828</v>
      </c>
      <c r="D538">
        <v>1736000</v>
      </c>
    </row>
    <row r="539" spans="1:4" x14ac:dyDescent="0.25">
      <c r="A539" t="str">
        <f>T("   CN")</f>
        <v xml:space="preserve">   CN</v>
      </c>
      <c r="B539" t="str">
        <f>T("   Chine")</f>
        <v xml:space="preserve">   Chine</v>
      </c>
      <c r="C539">
        <v>134098878</v>
      </c>
      <c r="D539">
        <v>616000</v>
      </c>
    </row>
    <row r="540" spans="1:4" x14ac:dyDescent="0.25">
      <c r="A540" t="str">
        <f>T("   NG")</f>
        <v xml:space="preserve">   NG</v>
      </c>
      <c r="B540" t="str">
        <f>T("   Nigéria")</f>
        <v xml:space="preserve">   Nigéria</v>
      </c>
      <c r="C540">
        <v>232005950</v>
      </c>
      <c r="D540">
        <v>1120000</v>
      </c>
    </row>
    <row r="541" spans="1:4" x14ac:dyDescent="0.25">
      <c r="A541" t="str">
        <f>T("440500")</f>
        <v>440500</v>
      </c>
      <c r="B541" t="str">
        <f>T("Laine [paille] de bois; farine de bois, c'est-à-dire la poudre de bois passant, avec au maximum 8% en poids de déchets, au tamis ayant une ouverture de mailles de 0,63 mm")</f>
        <v>Laine [paille] de bois; farine de bois, c'est-à-dire la poudre de bois passant, avec au maximum 8% en poids de déchets, au tamis ayant une ouverture de mailles de 0,63 mm</v>
      </c>
    </row>
    <row r="542" spans="1:4" x14ac:dyDescent="0.25">
      <c r="A542" t="str">
        <f>T("   ZZZ_Monde")</f>
        <v xml:space="preserve">   ZZZ_Monde</v>
      </c>
      <c r="B542" t="str">
        <f>T("   ZZZ_Monde")</f>
        <v xml:space="preserve">   ZZZ_Monde</v>
      </c>
      <c r="C542">
        <v>422319870</v>
      </c>
      <c r="D542">
        <v>4982000</v>
      </c>
    </row>
    <row r="543" spans="1:4" x14ac:dyDescent="0.25">
      <c r="A543" t="str">
        <f>T("   CN")</f>
        <v xml:space="preserve">   CN</v>
      </c>
      <c r="B543" t="str">
        <f>T("   Chine")</f>
        <v xml:space="preserve">   Chine</v>
      </c>
      <c r="C543">
        <v>95850000</v>
      </c>
      <c r="D543">
        <v>2512000</v>
      </c>
    </row>
    <row r="544" spans="1:4" x14ac:dyDescent="0.25">
      <c r="A544" t="str">
        <f>T("   DE")</f>
        <v xml:space="preserve">   DE</v>
      </c>
      <c r="B544" t="str">
        <f>T("   Allemagne")</f>
        <v xml:space="preserve">   Allemagne</v>
      </c>
      <c r="C544">
        <v>4132530</v>
      </c>
      <c r="D544">
        <v>30000</v>
      </c>
    </row>
    <row r="545" spans="1:4" x14ac:dyDescent="0.25">
      <c r="A545" t="str">
        <f>T("   IN")</f>
        <v xml:space="preserve">   IN</v>
      </c>
      <c r="B545" t="str">
        <f>T("   Inde")</f>
        <v xml:space="preserve">   Inde</v>
      </c>
      <c r="C545">
        <v>322337340</v>
      </c>
      <c r="D545">
        <v>2440000</v>
      </c>
    </row>
    <row r="546" spans="1:4" x14ac:dyDescent="0.25">
      <c r="A546" t="str">
        <f>T("440729")</f>
        <v>440729</v>
      </c>
      <c r="B546"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47" spans="1:4" x14ac:dyDescent="0.25">
      <c r="A547" t="str">
        <f>T("   ZZZ_Monde")</f>
        <v xml:space="preserve">   ZZZ_Monde</v>
      </c>
      <c r="B547" t="str">
        <f>T("   ZZZ_Monde")</f>
        <v xml:space="preserve">   ZZZ_Monde</v>
      </c>
      <c r="C547">
        <v>355092869</v>
      </c>
      <c r="D547">
        <v>19514465</v>
      </c>
    </row>
    <row r="548" spans="1:4" x14ac:dyDescent="0.25">
      <c r="A548" t="str">
        <f>T("   AE")</f>
        <v xml:space="preserve">   AE</v>
      </c>
      <c r="B548" t="str">
        <f>T("   Emirats Arabes Unis")</f>
        <v xml:space="preserve">   Emirats Arabes Unis</v>
      </c>
      <c r="C548">
        <v>487000</v>
      </c>
      <c r="D548">
        <v>26000</v>
      </c>
    </row>
    <row r="549" spans="1:4" x14ac:dyDescent="0.25">
      <c r="A549" t="str">
        <f>T("   CN")</f>
        <v xml:space="preserve">   CN</v>
      </c>
      <c r="B549" t="str">
        <f>T("   Chine")</f>
        <v xml:space="preserve">   Chine</v>
      </c>
      <c r="C549">
        <v>138428743</v>
      </c>
      <c r="D549">
        <v>18334000</v>
      </c>
    </row>
    <row r="550" spans="1:4" x14ac:dyDescent="0.25">
      <c r="A550" t="str">
        <f>T("   DE")</f>
        <v xml:space="preserve">   DE</v>
      </c>
      <c r="B550" t="str">
        <f>T("   Allemagne")</f>
        <v xml:space="preserve">   Allemagne</v>
      </c>
      <c r="C550">
        <v>54569978</v>
      </c>
      <c r="D550">
        <v>28320</v>
      </c>
    </row>
    <row r="551" spans="1:4" x14ac:dyDescent="0.25">
      <c r="A551" t="str">
        <f>T("   ID")</f>
        <v xml:space="preserve">   ID</v>
      </c>
      <c r="B551" t="str">
        <f>T("   Indonésie")</f>
        <v xml:space="preserve">   Indonésie</v>
      </c>
      <c r="C551">
        <v>105394506</v>
      </c>
      <c r="D551">
        <v>450000</v>
      </c>
    </row>
    <row r="552" spans="1:4" x14ac:dyDescent="0.25">
      <c r="A552" t="str">
        <f>T("   IN")</f>
        <v xml:space="preserve">   IN</v>
      </c>
      <c r="B552" t="str">
        <f>T("   Inde")</f>
        <v xml:space="preserve">   Inde</v>
      </c>
      <c r="C552">
        <v>50238642</v>
      </c>
      <c r="D552">
        <v>386745</v>
      </c>
    </row>
    <row r="553" spans="1:4" x14ac:dyDescent="0.25">
      <c r="A553" t="str">
        <f>T("   PK")</f>
        <v xml:space="preserve">   PK</v>
      </c>
      <c r="B553" t="str">
        <f>T("   Pakistan")</f>
        <v xml:space="preserve">   Pakistan</v>
      </c>
      <c r="C553">
        <v>974000</v>
      </c>
      <c r="D553">
        <v>39400</v>
      </c>
    </row>
    <row r="554" spans="1:4" x14ac:dyDescent="0.25">
      <c r="A554" t="str">
        <f>T("   TG")</f>
        <v xml:space="preserve">   TG</v>
      </c>
      <c r="B554" t="str">
        <f>T("   Togo")</f>
        <v xml:space="preserve">   Togo</v>
      </c>
      <c r="C554">
        <v>5000000</v>
      </c>
      <c r="D554">
        <v>250000</v>
      </c>
    </row>
    <row r="555" spans="1:4" x14ac:dyDescent="0.25">
      <c r="A555" t="str">
        <f>T("440799")</f>
        <v>440799</v>
      </c>
      <c r="B555"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56" spans="1:4" x14ac:dyDescent="0.25">
      <c r="A556" t="str">
        <f>T("   ZZZ_Monde")</f>
        <v xml:space="preserve">   ZZZ_Monde</v>
      </c>
      <c r="B556" t="str">
        <f>T("   ZZZ_Monde")</f>
        <v xml:space="preserve">   ZZZ_Monde</v>
      </c>
      <c r="C556">
        <v>735480764</v>
      </c>
      <c r="D556">
        <v>25688932</v>
      </c>
    </row>
    <row r="557" spans="1:4" x14ac:dyDescent="0.25">
      <c r="A557" t="str">
        <f>T("   CN")</f>
        <v xml:space="preserve">   CN</v>
      </c>
      <c r="B557" t="str">
        <f>T("   Chine")</f>
        <v xml:space="preserve">   Chine</v>
      </c>
      <c r="C557">
        <v>440356300</v>
      </c>
      <c r="D557">
        <v>17107000</v>
      </c>
    </row>
    <row r="558" spans="1:4" x14ac:dyDescent="0.25">
      <c r="A558" t="str">
        <f>T("   IN")</f>
        <v xml:space="preserve">   IN</v>
      </c>
      <c r="B558" t="str">
        <f>T("   Inde")</f>
        <v xml:space="preserve">   Inde</v>
      </c>
      <c r="C558">
        <v>267734692</v>
      </c>
      <c r="D558">
        <v>8010500</v>
      </c>
    </row>
    <row r="559" spans="1:4" x14ac:dyDescent="0.25">
      <c r="A559" t="str">
        <f>T("   MY")</f>
        <v xml:space="preserve">   MY</v>
      </c>
      <c r="B559" t="str">
        <f>T("   Malaisie")</f>
        <v xml:space="preserve">   Malaisie</v>
      </c>
      <c r="C559">
        <v>2500000</v>
      </c>
      <c r="D559">
        <v>180000</v>
      </c>
    </row>
    <row r="560" spans="1:4" x14ac:dyDescent="0.25">
      <c r="A560" t="str">
        <f>T("   TG")</f>
        <v xml:space="preserve">   TG</v>
      </c>
      <c r="B560" t="str">
        <f>T("   Togo")</f>
        <v xml:space="preserve">   Togo</v>
      </c>
      <c r="C560">
        <v>7500000</v>
      </c>
      <c r="D560">
        <v>300000</v>
      </c>
    </row>
    <row r="561" spans="1:4" x14ac:dyDescent="0.25">
      <c r="A561" t="str">
        <f>T("   TR")</f>
        <v xml:space="preserve">   TR</v>
      </c>
      <c r="B561" t="str">
        <f>T("   Turquie")</f>
        <v xml:space="preserve">   Turquie</v>
      </c>
      <c r="C561">
        <v>4000000</v>
      </c>
      <c r="D561">
        <v>40000</v>
      </c>
    </row>
    <row r="562" spans="1:4" x14ac:dyDescent="0.25">
      <c r="A562" t="str">
        <f>T("   US")</f>
        <v xml:space="preserve">   US</v>
      </c>
      <c r="B562" t="str">
        <f>T("   Etats-Unis")</f>
        <v xml:space="preserve">   Etats-Unis</v>
      </c>
      <c r="C562">
        <v>12389772</v>
      </c>
      <c r="D562">
        <v>1432</v>
      </c>
    </row>
    <row r="563" spans="1:4" x14ac:dyDescent="0.25">
      <c r="A563" t="str">
        <f>T("   VN")</f>
        <v xml:space="preserve">   VN</v>
      </c>
      <c r="B563" t="str">
        <f>T("   Vietnam")</f>
        <v xml:space="preserve">   Vietnam</v>
      </c>
      <c r="C563">
        <v>1000000</v>
      </c>
      <c r="D563">
        <v>50000</v>
      </c>
    </row>
    <row r="564" spans="1:4" x14ac:dyDescent="0.25">
      <c r="A564" t="str">
        <f>T("440839")</f>
        <v>440839</v>
      </c>
      <c r="B564"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65" spans="1:4" x14ac:dyDescent="0.25">
      <c r="A565" t="str">
        <f>T("   ZZZ_Monde")</f>
        <v xml:space="preserve">   ZZZ_Monde</v>
      </c>
      <c r="B565" t="str">
        <f>T("   ZZZ_Monde")</f>
        <v xml:space="preserve">   ZZZ_Monde</v>
      </c>
      <c r="C565">
        <v>254637289</v>
      </c>
      <c r="D565">
        <v>1008000</v>
      </c>
    </row>
    <row r="566" spans="1:4" x14ac:dyDescent="0.25">
      <c r="A566" t="str">
        <f>T("   IN")</f>
        <v xml:space="preserve">   IN</v>
      </c>
      <c r="B566" t="str">
        <f>T("   Inde")</f>
        <v xml:space="preserve">   Inde</v>
      </c>
      <c r="C566">
        <v>254637289</v>
      </c>
      <c r="D566">
        <v>1008000</v>
      </c>
    </row>
    <row r="567" spans="1:4" x14ac:dyDescent="0.25">
      <c r="A567" t="str">
        <f>T("440920")</f>
        <v>440920</v>
      </c>
      <c r="B567" t="s">
        <v>13</v>
      </c>
    </row>
    <row r="568" spans="1:4" x14ac:dyDescent="0.25">
      <c r="A568" t="str">
        <f>T("   ZZZ_Monde")</f>
        <v xml:space="preserve">   ZZZ_Monde</v>
      </c>
      <c r="B568" t="str">
        <f>T("   ZZZ_Monde")</f>
        <v xml:space="preserve">   ZZZ_Monde</v>
      </c>
      <c r="C568">
        <v>47316647</v>
      </c>
      <c r="D568">
        <v>403113</v>
      </c>
    </row>
    <row r="569" spans="1:4" x14ac:dyDescent="0.25">
      <c r="A569" t="str">
        <f>T("   CN")</f>
        <v xml:space="preserve">   CN</v>
      </c>
      <c r="B569" t="str">
        <f>T("   Chine")</f>
        <v xml:space="preserve">   Chine</v>
      </c>
      <c r="C569">
        <v>25440233</v>
      </c>
      <c r="D569">
        <v>333113</v>
      </c>
    </row>
    <row r="570" spans="1:4" x14ac:dyDescent="0.25">
      <c r="A570" t="str">
        <f>T("   ID")</f>
        <v xml:space="preserve">   ID</v>
      </c>
      <c r="B570" t="str">
        <f>T("   Indonésie")</f>
        <v xml:space="preserve">   Indonésie</v>
      </c>
      <c r="C570">
        <v>12692974</v>
      </c>
      <c r="D570">
        <v>50000</v>
      </c>
    </row>
    <row r="571" spans="1:4" x14ac:dyDescent="0.25">
      <c r="A571" t="str">
        <f>T("   IT")</f>
        <v xml:space="preserve">   IT</v>
      </c>
      <c r="B571" t="str">
        <f>T("   Italie")</f>
        <v xml:space="preserve">   Italie</v>
      </c>
      <c r="C571">
        <v>9183440</v>
      </c>
      <c r="D571">
        <v>20000</v>
      </c>
    </row>
    <row r="572" spans="1:4" x14ac:dyDescent="0.25">
      <c r="A572" t="str">
        <f>T("441021")</f>
        <v>441021</v>
      </c>
      <c r="B572" t="str">
        <f>T("Panneaux dits 'oriented strand board' et panneaux dits 'waferboard', en bois, bruts ou simplement poncés")</f>
        <v>Panneaux dits 'oriented strand board' et panneaux dits 'waferboard', en bois, bruts ou simplement poncés</v>
      </c>
    </row>
    <row r="573" spans="1:4" x14ac:dyDescent="0.25">
      <c r="A573" t="str">
        <f>T("   ZZZ_Monde")</f>
        <v xml:space="preserve">   ZZZ_Monde</v>
      </c>
      <c r="B573" t="str">
        <f>T("   ZZZ_Monde")</f>
        <v xml:space="preserve">   ZZZ_Monde</v>
      </c>
      <c r="C573">
        <v>95048190</v>
      </c>
      <c r="D573">
        <v>700000</v>
      </c>
    </row>
    <row r="574" spans="1:4" x14ac:dyDescent="0.25">
      <c r="A574" t="str">
        <f>T("   IN")</f>
        <v xml:space="preserve">   IN</v>
      </c>
      <c r="B574" t="str">
        <f>T("   Inde")</f>
        <v xml:space="preserve">   Inde</v>
      </c>
      <c r="C574">
        <v>95048190</v>
      </c>
      <c r="D574">
        <v>700000</v>
      </c>
    </row>
    <row r="575" spans="1:4" x14ac:dyDescent="0.25">
      <c r="A575" t="str">
        <f>T("442190")</f>
        <v>442190</v>
      </c>
      <c r="B575" t="str">
        <f>T("Ouvrages, en bois, n.d.a.")</f>
        <v>Ouvrages, en bois, n.d.a.</v>
      </c>
    </row>
    <row r="576" spans="1:4" x14ac:dyDescent="0.25">
      <c r="A576" t="str">
        <f>T("   ZZZ_Monde")</f>
        <v xml:space="preserve">   ZZZ_Monde</v>
      </c>
      <c r="B576" t="str">
        <f>T("   ZZZ_Monde")</f>
        <v xml:space="preserve">   ZZZ_Monde</v>
      </c>
      <c r="C576">
        <v>11662586</v>
      </c>
      <c r="D576">
        <v>620</v>
      </c>
    </row>
    <row r="577" spans="1:4" x14ac:dyDescent="0.25">
      <c r="A577" t="str">
        <f>T("   NG")</f>
        <v xml:space="preserve">   NG</v>
      </c>
      <c r="B577" t="str">
        <f>T("   Nigéria")</f>
        <v xml:space="preserve">   Nigéria</v>
      </c>
      <c r="C577">
        <v>11662586</v>
      </c>
      <c r="D577">
        <v>620</v>
      </c>
    </row>
    <row r="578" spans="1:4" x14ac:dyDescent="0.25">
      <c r="A578" t="str">
        <f>T("481910")</f>
        <v>481910</v>
      </c>
      <c r="B578" t="str">
        <f>T("Boîtes et caisses en papier ou en carton ondulé")</f>
        <v>Boîtes et caisses en papier ou en carton ondulé</v>
      </c>
    </row>
    <row r="579" spans="1:4" x14ac:dyDescent="0.25">
      <c r="A579" t="str">
        <f>T("   ZZZ_Monde")</f>
        <v xml:space="preserve">   ZZZ_Monde</v>
      </c>
      <c r="B579" t="str">
        <f>T("   ZZZ_Monde")</f>
        <v xml:space="preserve">   ZZZ_Monde</v>
      </c>
      <c r="C579">
        <v>2729956</v>
      </c>
      <c r="D579">
        <v>1863</v>
      </c>
    </row>
    <row r="580" spans="1:4" x14ac:dyDescent="0.25">
      <c r="A580" t="str">
        <f>T("   BF")</f>
        <v xml:space="preserve">   BF</v>
      </c>
      <c r="B580" t="str">
        <f>T("   Burkina Faso")</f>
        <v xml:space="preserve">   Burkina Faso</v>
      </c>
      <c r="C580">
        <v>340328</v>
      </c>
      <c r="D580">
        <v>200</v>
      </c>
    </row>
    <row r="581" spans="1:4" x14ac:dyDescent="0.25">
      <c r="A581" t="str">
        <f>T("   ML")</f>
        <v xml:space="preserve">   ML</v>
      </c>
      <c r="B581" t="str">
        <f>T("   Mali")</f>
        <v xml:space="preserve">   Mali</v>
      </c>
      <c r="C581">
        <v>1361313</v>
      </c>
      <c r="D581">
        <v>800</v>
      </c>
    </row>
    <row r="582" spans="1:4" x14ac:dyDescent="0.25">
      <c r="A582" t="str">
        <f>T("   TG")</f>
        <v xml:space="preserve">   TG</v>
      </c>
      <c r="B582" t="str">
        <f>T("   Togo")</f>
        <v xml:space="preserve">   Togo</v>
      </c>
      <c r="C582">
        <v>1028315</v>
      </c>
      <c r="D582">
        <v>863</v>
      </c>
    </row>
    <row r="583" spans="1:4" x14ac:dyDescent="0.25">
      <c r="A583" t="str">
        <f>T("482020")</f>
        <v>482020</v>
      </c>
      <c r="B583" t="str">
        <f>T("Cahiers pour l'écriture, en papier ou carton")</f>
        <v>Cahiers pour l'écriture, en papier ou carton</v>
      </c>
    </row>
    <row r="584" spans="1:4" x14ac:dyDescent="0.25">
      <c r="A584" t="str">
        <f>T("   ZZZ_Monde")</f>
        <v xml:space="preserve">   ZZZ_Monde</v>
      </c>
      <c r="B584" t="str">
        <f>T("   ZZZ_Monde")</f>
        <v xml:space="preserve">   ZZZ_Monde</v>
      </c>
      <c r="C584">
        <v>9675000</v>
      </c>
      <c r="D584">
        <v>30413</v>
      </c>
    </row>
    <row r="585" spans="1:4" x14ac:dyDescent="0.25">
      <c r="A585" t="str">
        <f>T("   NE")</f>
        <v xml:space="preserve">   NE</v>
      </c>
      <c r="B585" t="str">
        <f>T("   Niger")</f>
        <v xml:space="preserve">   Niger</v>
      </c>
      <c r="C585">
        <v>750000</v>
      </c>
      <c r="D585">
        <v>2000</v>
      </c>
    </row>
    <row r="586" spans="1:4" x14ac:dyDescent="0.25">
      <c r="A586" t="str">
        <f>T("   TG")</f>
        <v xml:space="preserve">   TG</v>
      </c>
      <c r="B586" t="str">
        <f>T("   Togo")</f>
        <v xml:space="preserve">   Togo</v>
      </c>
      <c r="C586">
        <v>8925000</v>
      </c>
      <c r="D586">
        <v>28413</v>
      </c>
    </row>
    <row r="587" spans="1:4" x14ac:dyDescent="0.25">
      <c r="A587" t="str">
        <f>T("482390")</f>
        <v>482390</v>
      </c>
      <c r="B587"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588" spans="1:4" x14ac:dyDescent="0.25">
      <c r="A588" t="str">
        <f>T("   ZZZ_Monde")</f>
        <v xml:space="preserve">   ZZZ_Monde</v>
      </c>
      <c r="B588" t="str">
        <f>T("   ZZZ_Monde")</f>
        <v xml:space="preserve">   ZZZ_Monde</v>
      </c>
      <c r="C588">
        <v>3000000</v>
      </c>
      <c r="D588">
        <v>30000</v>
      </c>
    </row>
    <row r="589" spans="1:4" x14ac:dyDescent="0.25">
      <c r="A589" t="str">
        <f>T("   CN")</f>
        <v xml:space="preserve">   CN</v>
      </c>
      <c r="B589" t="str">
        <f>T("   Chine")</f>
        <v xml:space="preserve">   Chine</v>
      </c>
      <c r="C589">
        <v>3000000</v>
      </c>
      <c r="D589">
        <v>30000</v>
      </c>
    </row>
    <row r="590" spans="1:4" x14ac:dyDescent="0.25">
      <c r="A590" t="str">
        <f>T("490110")</f>
        <v>490110</v>
      </c>
      <c r="B590"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591" spans="1:4" x14ac:dyDescent="0.25">
      <c r="A591" t="str">
        <f>T("   ZZZ_Monde")</f>
        <v xml:space="preserve">   ZZZ_Monde</v>
      </c>
      <c r="B591" t="str">
        <f>T("   ZZZ_Monde")</f>
        <v xml:space="preserve">   ZZZ_Monde</v>
      </c>
      <c r="C591">
        <v>4000000</v>
      </c>
      <c r="D591">
        <v>40000</v>
      </c>
    </row>
    <row r="592" spans="1:4" x14ac:dyDescent="0.25">
      <c r="A592" t="str">
        <f>T("   CN")</f>
        <v xml:space="preserve">   CN</v>
      </c>
      <c r="B592" t="str">
        <f>T("   Chine")</f>
        <v xml:space="preserve">   Chine</v>
      </c>
      <c r="C592">
        <v>4000000</v>
      </c>
      <c r="D592">
        <v>40000</v>
      </c>
    </row>
    <row r="593" spans="1:4" x14ac:dyDescent="0.25">
      <c r="A593" t="str">
        <f>T("490199")</f>
        <v>490199</v>
      </c>
      <c r="B593"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594" spans="1:4" x14ac:dyDescent="0.25">
      <c r="A594" t="str">
        <f>T("   ZZZ_Monde")</f>
        <v xml:space="preserve">   ZZZ_Monde</v>
      </c>
      <c r="B594" t="str">
        <f>T("   ZZZ_Monde")</f>
        <v xml:space="preserve">   ZZZ_Monde</v>
      </c>
      <c r="C594">
        <v>33941603</v>
      </c>
      <c r="D594">
        <v>5155</v>
      </c>
    </row>
    <row r="595" spans="1:4" x14ac:dyDescent="0.25">
      <c r="A595" t="str">
        <f>T("   CM")</f>
        <v xml:space="preserve">   CM</v>
      </c>
      <c r="B595" t="str">
        <f>T("   Cameroun")</f>
        <v xml:space="preserve">   Cameroun</v>
      </c>
      <c r="C595">
        <v>12800403</v>
      </c>
      <c r="D595">
        <v>1005</v>
      </c>
    </row>
    <row r="596" spans="1:4" x14ac:dyDescent="0.25">
      <c r="A596" t="str">
        <f>T("   FR")</f>
        <v xml:space="preserve">   FR</v>
      </c>
      <c r="B596" t="str">
        <f>T("   France")</f>
        <v xml:space="preserve">   France</v>
      </c>
      <c r="C596">
        <v>200000</v>
      </c>
      <c r="D596">
        <v>50</v>
      </c>
    </row>
    <row r="597" spans="1:4" x14ac:dyDescent="0.25">
      <c r="A597" t="str">
        <f>T("   NE")</f>
        <v xml:space="preserve">   NE</v>
      </c>
      <c r="B597" t="str">
        <f>T("   Niger")</f>
        <v xml:space="preserve">   Niger</v>
      </c>
      <c r="C597">
        <v>19841200</v>
      </c>
      <c r="D597">
        <v>3000</v>
      </c>
    </row>
    <row r="598" spans="1:4" x14ac:dyDescent="0.25">
      <c r="A598" t="str">
        <f>T("   NL")</f>
        <v xml:space="preserve">   NL</v>
      </c>
      <c r="B598" t="str">
        <f>T("   Pays-bas")</f>
        <v xml:space="preserve">   Pays-bas</v>
      </c>
      <c r="C598">
        <v>400000</v>
      </c>
      <c r="D598">
        <v>200</v>
      </c>
    </row>
    <row r="599" spans="1:4" x14ac:dyDescent="0.25">
      <c r="A599" t="str">
        <f>T("   UG")</f>
        <v xml:space="preserve">   UG</v>
      </c>
      <c r="B599" t="str">
        <f>T("   Ouganda")</f>
        <v xml:space="preserve">   Ouganda</v>
      </c>
      <c r="C599">
        <v>500000</v>
      </c>
      <c r="D599">
        <v>500</v>
      </c>
    </row>
    <row r="600" spans="1:4" x14ac:dyDescent="0.25">
      <c r="A600" t="str">
        <f>T("   US")</f>
        <v xml:space="preserve">   US</v>
      </c>
      <c r="B600" t="str">
        <f>T("   Etats-Unis")</f>
        <v xml:space="preserve">   Etats-Unis</v>
      </c>
      <c r="C600">
        <v>200000</v>
      </c>
      <c r="D600">
        <v>400</v>
      </c>
    </row>
    <row r="601" spans="1:4" x14ac:dyDescent="0.25">
      <c r="A601" t="str">
        <f>T("490700")</f>
        <v>490700</v>
      </c>
      <c r="B601"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02" spans="1:4" x14ac:dyDescent="0.25">
      <c r="A602" t="str">
        <f>T("   ZZZ_Monde")</f>
        <v xml:space="preserve">   ZZZ_Monde</v>
      </c>
      <c r="B602" t="str">
        <f>T("   ZZZ_Monde")</f>
        <v xml:space="preserve">   ZZZ_Monde</v>
      </c>
      <c r="C602">
        <v>123700000</v>
      </c>
      <c r="D602">
        <v>59917</v>
      </c>
    </row>
    <row r="603" spans="1:4" x14ac:dyDescent="0.25">
      <c r="A603" t="str">
        <f>T("   BF")</f>
        <v xml:space="preserve">   BF</v>
      </c>
      <c r="B603" t="str">
        <f>T("   Burkina Faso")</f>
        <v xml:space="preserve">   Burkina Faso</v>
      </c>
      <c r="C603">
        <v>6600000</v>
      </c>
      <c r="D603">
        <v>3309</v>
      </c>
    </row>
    <row r="604" spans="1:4" x14ac:dyDescent="0.25">
      <c r="A604" t="str">
        <f>T("   CI")</f>
        <v xml:space="preserve">   CI</v>
      </c>
      <c r="B604" t="str">
        <f>T("   Côte d'Ivoire")</f>
        <v xml:space="preserve">   Côte d'Ivoire</v>
      </c>
      <c r="C604">
        <v>33400000</v>
      </c>
      <c r="D604">
        <v>16136</v>
      </c>
    </row>
    <row r="605" spans="1:4" x14ac:dyDescent="0.25">
      <c r="A605" t="str">
        <f>T("   FR")</f>
        <v xml:space="preserve">   FR</v>
      </c>
      <c r="B605" t="str">
        <f>T("   France")</f>
        <v xml:space="preserve">   France</v>
      </c>
      <c r="C605">
        <v>52700000</v>
      </c>
      <c r="D605">
        <v>25610</v>
      </c>
    </row>
    <row r="606" spans="1:4" x14ac:dyDescent="0.25">
      <c r="A606" t="str">
        <f>T("   GH")</f>
        <v xml:space="preserve">   GH</v>
      </c>
      <c r="B606" t="str">
        <f>T("   Ghana")</f>
        <v xml:space="preserve">   Ghana</v>
      </c>
      <c r="C606">
        <v>4000000</v>
      </c>
      <c r="D606">
        <v>1700</v>
      </c>
    </row>
    <row r="607" spans="1:4" x14ac:dyDescent="0.25">
      <c r="A607" t="str">
        <f>T("   ML")</f>
        <v xml:space="preserve">   ML</v>
      </c>
      <c r="B607" t="str">
        <f>T("   Mali")</f>
        <v xml:space="preserve">   Mali</v>
      </c>
      <c r="C607">
        <v>7400000</v>
      </c>
      <c r="D607">
        <v>3406</v>
      </c>
    </row>
    <row r="608" spans="1:4" x14ac:dyDescent="0.25">
      <c r="A608" t="str">
        <f>T("   NG")</f>
        <v xml:space="preserve">   NG</v>
      </c>
      <c r="B608" t="str">
        <f>T("   Nigéria")</f>
        <v xml:space="preserve">   Nigéria</v>
      </c>
      <c r="C608">
        <v>5700000</v>
      </c>
      <c r="D608">
        <v>2700</v>
      </c>
    </row>
    <row r="609" spans="1:4" x14ac:dyDescent="0.25">
      <c r="A609" t="str">
        <f>T("   TG")</f>
        <v xml:space="preserve">   TG</v>
      </c>
      <c r="B609" t="str">
        <f>T("   Togo")</f>
        <v xml:space="preserve">   Togo</v>
      </c>
      <c r="C609">
        <v>13900000</v>
      </c>
      <c r="D609">
        <v>7056</v>
      </c>
    </row>
    <row r="610" spans="1:4" x14ac:dyDescent="0.25">
      <c r="A610" t="str">
        <f>T("520100")</f>
        <v>520100</v>
      </c>
      <c r="B610" t="str">
        <f>T("COTON, NON-CARDÉ NI PEIGNÉ")</f>
        <v>COTON, NON-CARDÉ NI PEIGNÉ</v>
      </c>
    </row>
    <row r="611" spans="1:4" x14ac:dyDescent="0.25">
      <c r="A611" t="str">
        <f>T("   ZZZ_Monde")</f>
        <v xml:space="preserve">   ZZZ_Monde</v>
      </c>
      <c r="B611" t="str">
        <f>T("   ZZZ_Monde")</f>
        <v xml:space="preserve">   ZZZ_Monde</v>
      </c>
      <c r="C611">
        <v>45094962487</v>
      </c>
      <c r="D611">
        <v>58893011</v>
      </c>
    </row>
    <row r="612" spans="1:4" x14ac:dyDescent="0.25">
      <c r="A612" t="str">
        <f>T("   BD")</f>
        <v xml:space="preserve">   BD</v>
      </c>
      <c r="B612" t="str">
        <f>T("   Bangladesh")</f>
        <v xml:space="preserve">   Bangladesh</v>
      </c>
      <c r="C612">
        <v>74863947</v>
      </c>
      <c r="D612">
        <v>97227</v>
      </c>
    </row>
    <row r="613" spans="1:4" x14ac:dyDescent="0.25">
      <c r="A613" t="str">
        <f>T("   CN")</f>
        <v xml:space="preserve">   CN</v>
      </c>
      <c r="B613" t="str">
        <f>T("   Chine")</f>
        <v xml:space="preserve">   Chine</v>
      </c>
      <c r="C613">
        <v>19921715691</v>
      </c>
      <c r="D613">
        <v>26056351</v>
      </c>
    </row>
    <row r="614" spans="1:4" x14ac:dyDescent="0.25">
      <c r="A614" t="str">
        <f>T("   DE")</f>
        <v xml:space="preserve">   DE</v>
      </c>
      <c r="B614" t="str">
        <f>T("   Allemagne")</f>
        <v xml:space="preserve">   Allemagne</v>
      </c>
      <c r="C614">
        <v>929290464</v>
      </c>
      <c r="D614">
        <v>1245460</v>
      </c>
    </row>
    <row r="615" spans="1:4" x14ac:dyDescent="0.25">
      <c r="A615" t="str">
        <f>T("   EG")</f>
        <v xml:space="preserve">   EG</v>
      </c>
      <c r="B615" t="str">
        <f>T("   Egypte")</f>
        <v xml:space="preserve">   Egypte</v>
      </c>
      <c r="C615">
        <v>755198004</v>
      </c>
      <c r="D615">
        <v>980770</v>
      </c>
    </row>
    <row r="616" spans="1:4" x14ac:dyDescent="0.25">
      <c r="A616" t="str">
        <f>T("   FR")</f>
        <v xml:space="preserve">   FR</v>
      </c>
      <c r="B616" t="str">
        <f>T("   France")</f>
        <v xml:space="preserve">   France</v>
      </c>
      <c r="C616">
        <v>197235515</v>
      </c>
      <c r="D616">
        <v>229489</v>
      </c>
    </row>
    <row r="617" spans="1:4" x14ac:dyDescent="0.25">
      <c r="A617" t="str">
        <f>T("   GR")</f>
        <v xml:space="preserve">   GR</v>
      </c>
      <c r="B617" t="str">
        <f>T("   Grèce")</f>
        <v xml:space="preserve">   Grèce</v>
      </c>
      <c r="C617">
        <v>368773222</v>
      </c>
      <c r="D617">
        <v>210962</v>
      </c>
    </row>
    <row r="618" spans="1:4" x14ac:dyDescent="0.25">
      <c r="A618" t="str">
        <f>T("   ID")</f>
        <v xml:space="preserve">   ID</v>
      </c>
      <c r="B618" t="str">
        <f>T("   Indonésie")</f>
        <v xml:space="preserve">   Indonésie</v>
      </c>
      <c r="C618">
        <v>10850972872</v>
      </c>
      <c r="D618">
        <v>14107236</v>
      </c>
    </row>
    <row r="619" spans="1:4" x14ac:dyDescent="0.25">
      <c r="A619" t="str">
        <f>T("   IT")</f>
        <v xml:space="preserve">   IT</v>
      </c>
      <c r="B619" t="str">
        <f>T("   Italie")</f>
        <v xml:space="preserve">   Italie</v>
      </c>
      <c r="C619">
        <v>373824709</v>
      </c>
      <c r="D619">
        <v>511254</v>
      </c>
    </row>
    <row r="620" spans="1:4" x14ac:dyDescent="0.25">
      <c r="A620" t="str">
        <f>T("   MU")</f>
        <v xml:space="preserve">   MU</v>
      </c>
      <c r="B620" t="str">
        <f>T("   Maurice, île")</f>
        <v xml:space="preserve">   Maurice, île</v>
      </c>
      <c r="C620">
        <v>515190316</v>
      </c>
      <c r="D620">
        <v>680421</v>
      </c>
    </row>
    <row r="621" spans="1:4" x14ac:dyDescent="0.25">
      <c r="A621" t="str">
        <f>T("   MY")</f>
        <v xml:space="preserve">   MY</v>
      </c>
      <c r="B621" t="str">
        <f>T("   Malaisie")</f>
        <v xml:space="preserve">   Malaisie</v>
      </c>
      <c r="C621">
        <v>5191333437</v>
      </c>
      <c r="D621">
        <v>6756245</v>
      </c>
    </row>
    <row r="622" spans="1:4" x14ac:dyDescent="0.25">
      <c r="A622" t="str">
        <f>T("   NL")</f>
        <v xml:space="preserve">   NL</v>
      </c>
      <c r="B622" t="str">
        <f>T("   Pays-bas")</f>
        <v xml:space="preserve">   Pays-bas</v>
      </c>
      <c r="C622">
        <v>3131350</v>
      </c>
      <c r="D622">
        <v>388100</v>
      </c>
    </row>
    <row r="623" spans="1:4" x14ac:dyDescent="0.25">
      <c r="A623" t="str">
        <f>T("   PK")</f>
        <v xml:space="preserve">   PK</v>
      </c>
      <c r="B623" t="str">
        <f>T("   Pakistan")</f>
        <v xml:space="preserve">   Pakistan</v>
      </c>
      <c r="C623">
        <v>937212572</v>
      </c>
      <c r="D623">
        <v>1213367</v>
      </c>
    </row>
    <row r="624" spans="1:4" x14ac:dyDescent="0.25">
      <c r="A624" t="str">
        <f>T("   PT")</f>
        <v xml:space="preserve">   PT</v>
      </c>
      <c r="B624" t="str">
        <f>T("   Portugal")</f>
        <v xml:space="preserve">   Portugal</v>
      </c>
      <c r="C624">
        <v>1216577145</v>
      </c>
      <c r="D624">
        <v>1596371</v>
      </c>
    </row>
    <row r="625" spans="1:4" x14ac:dyDescent="0.25">
      <c r="A625" t="str">
        <f>T("   TH")</f>
        <v xml:space="preserve">   TH</v>
      </c>
      <c r="B625" t="str">
        <f>T("   Thaïlande")</f>
        <v xml:space="preserve">   Thaïlande</v>
      </c>
      <c r="C625">
        <v>2718033824</v>
      </c>
      <c r="D625">
        <v>3457801</v>
      </c>
    </row>
    <row r="626" spans="1:4" x14ac:dyDescent="0.25">
      <c r="A626" t="str">
        <f>T("   TR")</f>
        <v xml:space="preserve">   TR</v>
      </c>
      <c r="B626" t="str">
        <f>T("   Turquie")</f>
        <v xml:space="preserve">   Turquie</v>
      </c>
      <c r="C626">
        <v>188111978</v>
      </c>
      <c r="D626">
        <v>242724</v>
      </c>
    </row>
    <row r="627" spans="1:4" x14ac:dyDescent="0.25">
      <c r="A627" t="str">
        <f>T("   VN")</f>
        <v xml:space="preserve">   VN</v>
      </c>
      <c r="B627" t="str">
        <f>T("   Vietnam")</f>
        <v xml:space="preserve">   Vietnam</v>
      </c>
      <c r="C627">
        <v>853497441</v>
      </c>
      <c r="D627">
        <v>1119233</v>
      </c>
    </row>
    <row r="628" spans="1:4" x14ac:dyDescent="0.25">
      <c r="A628" t="str">
        <f>T("520210")</f>
        <v>520210</v>
      </c>
      <c r="B628" t="str">
        <f>T("Déchets de fils de coton")</f>
        <v>Déchets de fils de coton</v>
      </c>
    </row>
    <row r="629" spans="1:4" x14ac:dyDescent="0.25">
      <c r="A629" t="str">
        <f>T("   ZZZ_Monde")</f>
        <v xml:space="preserve">   ZZZ_Monde</v>
      </c>
      <c r="B629" t="str">
        <f>T("   ZZZ_Monde")</f>
        <v xml:space="preserve">   ZZZ_Monde</v>
      </c>
      <c r="C629">
        <v>26715915</v>
      </c>
      <c r="D629">
        <v>60877</v>
      </c>
    </row>
    <row r="630" spans="1:4" x14ac:dyDescent="0.25">
      <c r="A630" t="str">
        <f>T("   PK")</f>
        <v xml:space="preserve">   PK</v>
      </c>
      <c r="B630" t="str">
        <f>T("   Pakistan")</f>
        <v xml:space="preserve">   Pakistan</v>
      </c>
      <c r="C630">
        <v>26715915</v>
      </c>
      <c r="D630">
        <v>60877</v>
      </c>
    </row>
    <row r="631" spans="1:4" x14ac:dyDescent="0.25">
      <c r="A631" t="str">
        <f>T("520291")</f>
        <v>520291</v>
      </c>
      <c r="B631" t="str">
        <f>T("Effilochés de coton")</f>
        <v>Effilochés de coton</v>
      </c>
    </row>
    <row r="632" spans="1:4" x14ac:dyDescent="0.25">
      <c r="A632" t="str">
        <f>T("   ZZZ_Monde")</f>
        <v xml:space="preserve">   ZZZ_Monde</v>
      </c>
      <c r="B632" t="str">
        <f>T("   ZZZ_Monde")</f>
        <v xml:space="preserve">   ZZZ_Monde</v>
      </c>
      <c r="C632">
        <v>3347134</v>
      </c>
      <c r="D632">
        <v>8365</v>
      </c>
    </row>
    <row r="633" spans="1:4" x14ac:dyDescent="0.25">
      <c r="A633" t="str">
        <f>T("   PT")</f>
        <v xml:space="preserve">   PT</v>
      </c>
      <c r="B633" t="str">
        <f>T("   Portugal")</f>
        <v xml:space="preserve">   Portugal</v>
      </c>
      <c r="C633">
        <v>3347134</v>
      </c>
      <c r="D633">
        <v>8365</v>
      </c>
    </row>
    <row r="634" spans="1:4" x14ac:dyDescent="0.25">
      <c r="A634" t="str">
        <f>T("520299")</f>
        <v>520299</v>
      </c>
      <c r="B634" t="str">
        <f>T("Déchets de coton (à l'excl. des déchets de fils et des effilochés)")</f>
        <v>Déchets de coton (à l'excl. des déchets de fils et des effilochés)</v>
      </c>
    </row>
    <row r="635" spans="1:4" x14ac:dyDescent="0.25">
      <c r="A635" t="str">
        <f>T("   ZZZ_Monde")</f>
        <v xml:space="preserve">   ZZZ_Monde</v>
      </c>
      <c r="B635" t="str">
        <f>T("   ZZZ_Monde")</f>
        <v xml:space="preserve">   ZZZ_Monde</v>
      </c>
      <c r="C635">
        <v>282828735</v>
      </c>
      <c r="D635">
        <v>1143522</v>
      </c>
    </row>
    <row r="636" spans="1:4" x14ac:dyDescent="0.25">
      <c r="A636" t="str">
        <f>T("   CN")</f>
        <v xml:space="preserve">   CN</v>
      </c>
      <c r="B636" t="str">
        <f>T("   Chine")</f>
        <v xml:space="preserve">   Chine</v>
      </c>
      <c r="C636">
        <v>140385383</v>
      </c>
      <c r="D636">
        <v>360678</v>
      </c>
    </row>
    <row r="637" spans="1:4" x14ac:dyDescent="0.25">
      <c r="A637" t="str">
        <f>T("   ES")</f>
        <v xml:space="preserve">   ES</v>
      </c>
      <c r="B637" t="str">
        <f>T("   Espagne")</f>
        <v xml:space="preserve">   Espagne</v>
      </c>
      <c r="C637">
        <v>79432173</v>
      </c>
      <c r="D637">
        <v>248066</v>
      </c>
    </row>
    <row r="638" spans="1:4" x14ac:dyDescent="0.25">
      <c r="A638" t="str">
        <f>T("   GB")</f>
        <v xml:space="preserve">   GB</v>
      </c>
      <c r="B638" t="str">
        <f>T("   Royaume-Uni")</f>
        <v xml:space="preserve">   Royaume-Uni</v>
      </c>
      <c r="C638">
        <v>1875000</v>
      </c>
      <c r="D638">
        <v>15000</v>
      </c>
    </row>
    <row r="639" spans="1:4" x14ac:dyDescent="0.25">
      <c r="A639" t="str">
        <f>T("   IN")</f>
        <v xml:space="preserve">   IN</v>
      </c>
      <c r="B639" t="str">
        <f>T("   Inde")</f>
        <v xml:space="preserve">   Inde</v>
      </c>
      <c r="C639">
        <v>2500000</v>
      </c>
      <c r="D639">
        <v>20000</v>
      </c>
    </row>
    <row r="640" spans="1:4" x14ac:dyDescent="0.25">
      <c r="A640" t="str">
        <f>T("   NL")</f>
        <v xml:space="preserve">   NL</v>
      </c>
      <c r="B640" t="str">
        <f>T("   Pays-bas")</f>
        <v xml:space="preserve">   Pays-bas</v>
      </c>
      <c r="C640">
        <v>2203550</v>
      </c>
      <c r="D640">
        <v>272960</v>
      </c>
    </row>
    <row r="641" spans="1:4" x14ac:dyDescent="0.25">
      <c r="A641" t="str">
        <f>T("   TG")</f>
        <v xml:space="preserve">   TG</v>
      </c>
      <c r="B641" t="str">
        <f>T("   Togo")</f>
        <v xml:space="preserve">   Togo</v>
      </c>
      <c r="C641">
        <v>17072595</v>
      </c>
      <c r="D641">
        <v>128419</v>
      </c>
    </row>
    <row r="642" spans="1:4" x14ac:dyDescent="0.25">
      <c r="A642" t="str">
        <f>T("   VN")</f>
        <v xml:space="preserve">   VN</v>
      </c>
      <c r="B642" t="str">
        <f>T("   Vietnam")</f>
        <v xml:space="preserve">   Vietnam</v>
      </c>
      <c r="C642">
        <v>39360034</v>
      </c>
      <c r="D642">
        <v>98399</v>
      </c>
    </row>
    <row r="643" spans="1:4" x14ac:dyDescent="0.25">
      <c r="A643" t="str">
        <f>T("520300")</f>
        <v>520300</v>
      </c>
      <c r="B643" t="str">
        <f>T("Coton, cardé ou peigné")</f>
        <v>Coton, cardé ou peigné</v>
      </c>
    </row>
    <row r="644" spans="1:4" x14ac:dyDescent="0.25">
      <c r="A644" t="str">
        <f>T("   ZZZ_Monde")</f>
        <v xml:space="preserve">   ZZZ_Monde</v>
      </c>
      <c r="B644" t="str">
        <f>T("   ZZZ_Monde")</f>
        <v xml:space="preserve">   ZZZ_Monde</v>
      </c>
      <c r="C644">
        <v>134022195</v>
      </c>
      <c r="D644">
        <v>268838</v>
      </c>
    </row>
    <row r="645" spans="1:4" x14ac:dyDescent="0.25">
      <c r="A645" t="str">
        <f>T("   CN")</f>
        <v xml:space="preserve">   CN</v>
      </c>
      <c r="B645" t="str">
        <f>T("   Chine")</f>
        <v xml:space="preserve">   Chine</v>
      </c>
      <c r="C645">
        <v>134022195</v>
      </c>
      <c r="D645">
        <v>268838</v>
      </c>
    </row>
    <row r="646" spans="1:4" x14ac:dyDescent="0.25">
      <c r="A646" t="str">
        <f>T("520512")</f>
        <v>520512</v>
      </c>
      <c r="B646" t="str">
        <f>T("Fils simples de coton, en fibres non peignées, contenant &gt;= 85% en poids de coton, titrant &gt;= 232,56 décitex mais &lt; 714,29 décitex [&gt; 14 numéros métriques mais &lt;= 43 numéros métriques] (sauf les fils à coudre et les fils conditionnés pour la vente au déta")</f>
        <v>Fils simples de coton, en fibres non peignées, contenant &gt;= 85% en poids de coton, titrant &gt;= 232,56 décitex mais &lt; 714,29 décitex [&gt; 14 numéros métriques mais &lt;= 43 numéros métriques] (sauf les fils à coudre et les fils conditionnés pour la vente au déta</v>
      </c>
    </row>
    <row r="647" spans="1:4" x14ac:dyDescent="0.25">
      <c r="A647" t="str">
        <f>T("   ZZZ_Monde")</f>
        <v xml:space="preserve">   ZZZ_Monde</v>
      </c>
      <c r="B647" t="str">
        <f>T("   ZZZ_Monde")</f>
        <v xml:space="preserve">   ZZZ_Monde</v>
      </c>
      <c r="C647">
        <v>812740869</v>
      </c>
      <c r="D647">
        <v>320800</v>
      </c>
    </row>
    <row r="648" spans="1:4" x14ac:dyDescent="0.25">
      <c r="A648" t="str">
        <f>T("   CN")</f>
        <v xml:space="preserve">   CN</v>
      </c>
      <c r="B648" t="str">
        <f>T("   Chine")</f>
        <v xml:space="preserve">   Chine</v>
      </c>
      <c r="C648">
        <v>812740869</v>
      </c>
      <c r="D648">
        <v>320800</v>
      </c>
    </row>
    <row r="649" spans="1:4" x14ac:dyDescent="0.25">
      <c r="A649" t="str">
        <f>T("520812")</f>
        <v>520812</v>
      </c>
      <c r="B649" t="str">
        <f>T("Tissus de coton, écrus, à armure toile, contenant &gt;= 85% en poids de coton, d'un poids &gt; 100 g/m² mais &lt;= 200 g/m²")</f>
        <v>Tissus de coton, écrus, à armure toile, contenant &gt;= 85% en poids de coton, d'un poids &gt; 100 g/m² mais &lt;= 200 g/m²</v>
      </c>
    </row>
    <row r="650" spans="1:4" x14ac:dyDescent="0.25">
      <c r="A650" t="str">
        <f>T("   ZZZ_Monde")</f>
        <v xml:space="preserve">   ZZZ_Monde</v>
      </c>
      <c r="B650" t="str">
        <f>T("   ZZZ_Monde")</f>
        <v xml:space="preserve">   ZZZ_Monde</v>
      </c>
      <c r="C650">
        <v>6740122230</v>
      </c>
      <c r="D650">
        <v>2182152.25</v>
      </c>
    </row>
    <row r="651" spans="1:4" x14ac:dyDescent="0.25">
      <c r="A651" t="str">
        <f>T("   BF")</f>
        <v xml:space="preserve">   BF</v>
      </c>
      <c r="B651" t="str">
        <f>T("   Burkina Faso")</f>
        <v xml:space="preserve">   Burkina Faso</v>
      </c>
      <c r="C651">
        <v>22680000</v>
      </c>
      <c r="D651">
        <v>6960</v>
      </c>
    </row>
    <row r="652" spans="1:4" x14ac:dyDescent="0.25">
      <c r="A652" t="str">
        <f>T("   CI")</f>
        <v xml:space="preserve">   CI</v>
      </c>
      <c r="B652" t="str">
        <f>T("   Côte d'Ivoire")</f>
        <v xml:space="preserve">   Côte d'Ivoire</v>
      </c>
      <c r="C652">
        <v>3817605120</v>
      </c>
      <c r="D652">
        <v>1158074</v>
      </c>
    </row>
    <row r="653" spans="1:4" x14ac:dyDescent="0.25">
      <c r="A653" t="str">
        <f>T("   CM")</f>
        <v xml:space="preserve">   CM</v>
      </c>
      <c r="B653" t="str">
        <f>T("   Cameroun")</f>
        <v xml:space="preserve">   Cameroun</v>
      </c>
      <c r="C653">
        <v>622524000</v>
      </c>
      <c r="D653">
        <v>200345</v>
      </c>
    </row>
    <row r="654" spans="1:4" x14ac:dyDescent="0.25">
      <c r="A654" t="str">
        <f>T("   GH")</f>
        <v xml:space="preserve">   GH</v>
      </c>
      <c r="B654" t="str">
        <f>T("   Ghana")</f>
        <v xml:space="preserve">   Ghana</v>
      </c>
      <c r="C654">
        <v>1381689960</v>
      </c>
      <c r="D654">
        <v>470733</v>
      </c>
    </row>
    <row r="655" spans="1:4" x14ac:dyDescent="0.25">
      <c r="A655" t="str">
        <f>T("   ML")</f>
        <v xml:space="preserve">   ML</v>
      </c>
      <c r="B655" t="str">
        <f>T("   Mali")</f>
        <v xml:space="preserve">   Mali</v>
      </c>
      <c r="C655">
        <v>166336800</v>
      </c>
      <c r="D655">
        <v>61640.25</v>
      </c>
    </row>
    <row r="656" spans="1:4" x14ac:dyDescent="0.25">
      <c r="A656" t="str">
        <f>T("   NE")</f>
        <v xml:space="preserve">   NE</v>
      </c>
      <c r="B656" t="str">
        <f>T("   Niger")</f>
        <v xml:space="preserve">   Niger</v>
      </c>
      <c r="C656">
        <v>241050600</v>
      </c>
      <c r="D656">
        <v>102000</v>
      </c>
    </row>
    <row r="657" spans="1:4" x14ac:dyDescent="0.25">
      <c r="A657" t="str">
        <f>T("   NG")</f>
        <v xml:space="preserve">   NG</v>
      </c>
      <c r="B657" t="str">
        <f>T("   Nigéria")</f>
        <v xml:space="preserve">   Nigéria</v>
      </c>
      <c r="C657">
        <v>488235750</v>
      </c>
      <c r="D657">
        <v>182400</v>
      </c>
    </row>
    <row r="658" spans="1:4" x14ac:dyDescent="0.25">
      <c r="A658" t="str">
        <f>T("521211")</f>
        <v>521211</v>
      </c>
      <c r="B658"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59" spans="1:4" x14ac:dyDescent="0.25">
      <c r="A659" t="str">
        <f>T("   ZZZ_Monde")</f>
        <v xml:space="preserve">   ZZZ_Monde</v>
      </c>
      <c r="B659" t="str">
        <f>T("   ZZZ_Monde")</f>
        <v xml:space="preserve">   ZZZ_Monde</v>
      </c>
      <c r="C659">
        <v>251806800</v>
      </c>
      <c r="D659">
        <v>82608</v>
      </c>
    </row>
    <row r="660" spans="1:4" x14ac:dyDescent="0.25">
      <c r="A660" t="str">
        <f>T("   CM")</f>
        <v xml:space="preserve">   CM</v>
      </c>
      <c r="B660" t="str">
        <f>T("   Cameroun")</f>
        <v xml:space="preserve">   Cameroun</v>
      </c>
      <c r="C660">
        <v>251806800</v>
      </c>
      <c r="D660">
        <v>82608</v>
      </c>
    </row>
    <row r="661" spans="1:4" x14ac:dyDescent="0.25">
      <c r="A661" t="str">
        <f>T("551110")</f>
        <v>551110</v>
      </c>
      <c r="B661" t="str">
        <f>T("Fils de fibres synthétiques discontinues, contenant &gt;= 85% en poids de ces fibres, conditionnés pour la vente au détail (à l'excl. des fils à coudre)")</f>
        <v>Fils de fibres synthétiques discontinues, contenant &gt;= 85% en poids de ces fibres, conditionnés pour la vente au détail (à l'excl. des fils à coudre)</v>
      </c>
    </row>
    <row r="662" spans="1:4" x14ac:dyDescent="0.25">
      <c r="A662" t="str">
        <f>T("   ZZZ_Monde")</f>
        <v xml:space="preserve">   ZZZ_Monde</v>
      </c>
      <c r="B662" t="str">
        <f>T("   ZZZ_Monde")</f>
        <v xml:space="preserve">   ZZZ_Monde</v>
      </c>
      <c r="C662">
        <v>4694560</v>
      </c>
      <c r="D662">
        <v>10540</v>
      </c>
    </row>
    <row r="663" spans="1:4" x14ac:dyDescent="0.25">
      <c r="A663" t="str">
        <f>T("   BF")</f>
        <v xml:space="preserve">   BF</v>
      </c>
      <c r="B663" t="str">
        <f>T("   Burkina Faso")</f>
        <v xml:space="preserve">   Burkina Faso</v>
      </c>
      <c r="C663">
        <v>4694560</v>
      </c>
      <c r="D663">
        <v>10540</v>
      </c>
    </row>
    <row r="664" spans="1:4" x14ac:dyDescent="0.25">
      <c r="A664" t="str">
        <f>T("560811")</f>
        <v>560811</v>
      </c>
      <c r="B664" t="str">
        <f>T("Filets confectionnés pour la pêche, à mailles nouées, en matières textiles synthétiques ou artificielles (à l'excl. des épuisettes)")</f>
        <v>Filets confectionnés pour la pêche, à mailles nouées, en matières textiles synthétiques ou artificielles (à l'excl. des épuisettes)</v>
      </c>
    </row>
    <row r="665" spans="1:4" x14ac:dyDescent="0.25">
      <c r="A665" t="str">
        <f>T("   ZZZ_Monde")</f>
        <v xml:space="preserve">   ZZZ_Monde</v>
      </c>
      <c r="B665" t="str">
        <f>T("   ZZZ_Monde")</f>
        <v xml:space="preserve">   ZZZ_Monde</v>
      </c>
      <c r="C665">
        <v>507745</v>
      </c>
      <c r="D665">
        <v>5</v>
      </c>
    </row>
    <row r="666" spans="1:4" x14ac:dyDescent="0.25">
      <c r="A666" t="str">
        <f>T("   NL")</f>
        <v xml:space="preserve">   NL</v>
      </c>
      <c r="B666" t="str">
        <f>T("   Pays-bas")</f>
        <v xml:space="preserve">   Pays-bas</v>
      </c>
      <c r="C666">
        <v>507745</v>
      </c>
      <c r="D666">
        <v>5</v>
      </c>
    </row>
    <row r="667" spans="1:4" x14ac:dyDescent="0.25">
      <c r="A667" t="str">
        <f>T("610349")</f>
        <v>610349</v>
      </c>
      <c r="B667" t="str">
        <f>T("PANTALONS, Y.C. KNICKERS ET PANTALONS SIMIL., SALOPETTES À BRETELLES, CULOTTES ET SHORTS, EN BONNETERIE, DE MATIÈRES TEXTILES, POUR HOMMES OU GARÇONNETS (SAUF DE LAINE, POILS FINS, COTON OU FIBRES SYNTHÉTIQUES ET SAUF CALETHONS ET SLIPS DE BAIN)")</f>
        <v>PANTALONS, Y.C. KNICKERS ET PANTALONS SIMIL., SALOPETTES À BRETELLES, CULOTTES ET SHORTS, EN BONNETERIE, DE MATIÈRES TEXTILES, POUR HOMMES OU GARÇONNETS (SAUF DE LAINE, POILS FINS, COTON OU FIBRES SYNTHÉTIQUES ET SAUF CALETHONS ET SLIPS DE BAIN)</v>
      </c>
    </row>
    <row r="668" spans="1:4" x14ac:dyDescent="0.25">
      <c r="A668" t="str">
        <f>T("   ZZZ_Monde")</f>
        <v xml:space="preserve">   ZZZ_Monde</v>
      </c>
      <c r="B668" t="str">
        <f>T("   ZZZ_Monde")</f>
        <v xml:space="preserve">   ZZZ_Monde</v>
      </c>
      <c r="C668">
        <v>10500000</v>
      </c>
      <c r="D668">
        <v>4500</v>
      </c>
    </row>
    <row r="669" spans="1:4" x14ac:dyDescent="0.25">
      <c r="A669" t="str">
        <f>T("   NE")</f>
        <v xml:space="preserve">   NE</v>
      </c>
      <c r="B669" t="str">
        <f>T("   Niger")</f>
        <v xml:space="preserve">   Niger</v>
      </c>
      <c r="C669">
        <v>10500000</v>
      </c>
      <c r="D669">
        <v>4500</v>
      </c>
    </row>
    <row r="670" spans="1:4" x14ac:dyDescent="0.25">
      <c r="A670" t="str">
        <f>T("610469")</f>
        <v>610469</v>
      </c>
      <c r="B670" t="str">
        <f>T("PANTALONS, Y.C. KNICKERS ET PANTALONS SIMIL., ET CULOTTES, SALOPETTES À BRETELLES ET SHORTS, EN BONNETERIE, DE MATIÈRES TEXTILES, POUR FEMMES OU FILLETTES (SAUF DE LAINE, POILS FINS, COTON, FIBRES SYNTHÉTIQUES ET SAUF SLIPS ET MAILLOTS, CULOTTES ET SLIPS")</f>
        <v>PANTALONS, Y.C. KNICKERS ET PANTALONS SIMIL., ET CULOTTES, SALOPETTES À BRETELLES ET SHORTS, EN BONNETERIE, DE MATIÈRES TEXTILES, POUR FEMMES OU FILLETTES (SAUF DE LAINE, POILS FINS, COTON, FIBRES SYNTHÉTIQUES ET SAUF SLIPS ET MAILLOTS, CULOTTES ET SLIPS</v>
      </c>
    </row>
    <row r="671" spans="1:4" x14ac:dyDescent="0.25">
      <c r="A671" t="str">
        <f>T("   ZZZ_Monde")</f>
        <v xml:space="preserve">   ZZZ_Monde</v>
      </c>
      <c r="B671" t="str">
        <f>T("   ZZZ_Monde")</f>
        <v xml:space="preserve">   ZZZ_Monde</v>
      </c>
      <c r="C671">
        <v>200000</v>
      </c>
      <c r="D671">
        <v>1900</v>
      </c>
    </row>
    <row r="672" spans="1:4" x14ac:dyDescent="0.25">
      <c r="A672" t="str">
        <f>T("   FR")</f>
        <v xml:space="preserve">   FR</v>
      </c>
      <c r="B672" t="str">
        <f>T("   France")</f>
        <v xml:space="preserve">   France</v>
      </c>
      <c r="C672">
        <v>200000</v>
      </c>
      <c r="D672">
        <v>1900</v>
      </c>
    </row>
    <row r="673" spans="1:4" x14ac:dyDescent="0.25">
      <c r="A673" t="str">
        <f>T("610990")</f>
        <v>610990</v>
      </c>
      <c r="B673" t="str">
        <f>T("T-shirts et maillots de corps, en bonneterie, de matières textiles (sauf de coton)")</f>
        <v>T-shirts et maillots de corps, en bonneterie, de matières textiles (sauf de coton)</v>
      </c>
    </row>
    <row r="674" spans="1:4" x14ac:dyDescent="0.25">
      <c r="A674" t="str">
        <f>T("   ZZZ_Monde")</f>
        <v xml:space="preserve">   ZZZ_Monde</v>
      </c>
      <c r="B674" t="str">
        <f>T("   ZZZ_Monde")</f>
        <v xml:space="preserve">   ZZZ_Monde</v>
      </c>
      <c r="C674">
        <v>10687966</v>
      </c>
      <c r="D674">
        <v>544</v>
      </c>
    </row>
    <row r="675" spans="1:4" x14ac:dyDescent="0.25">
      <c r="A675" t="str">
        <f>T("   NG")</f>
        <v xml:space="preserve">   NG</v>
      </c>
      <c r="B675" t="str">
        <f>T("   Nigéria")</f>
        <v xml:space="preserve">   Nigéria</v>
      </c>
      <c r="C675">
        <v>10687966</v>
      </c>
      <c r="D675">
        <v>544</v>
      </c>
    </row>
    <row r="676" spans="1:4" x14ac:dyDescent="0.25">
      <c r="A676" t="str">
        <f>T("611090")</f>
        <v>611090</v>
      </c>
      <c r="B676" t="str">
        <f>T("Chandails, pull-overs, cardigans, gilets et articles simil., y.c. les sous-pulls, en bonneterie, de matières textiles (sauf de laine, poils fins, coton, fibres synthétiques ou artificielles et sauf gilets ouatinés)")</f>
        <v>Chandails, pull-overs, cardigans, gilets et articles simil., y.c. les sous-pulls, en bonneterie, de matières textiles (sauf de laine, poils fins, coton, fibres synthétiques ou artificielles et sauf gilets ouatinés)</v>
      </c>
    </row>
    <row r="677" spans="1:4" x14ac:dyDescent="0.25">
      <c r="A677" t="str">
        <f>T("   ZZZ_Monde")</f>
        <v xml:space="preserve">   ZZZ_Monde</v>
      </c>
      <c r="B677" t="str">
        <f>T("   ZZZ_Monde")</f>
        <v xml:space="preserve">   ZZZ_Monde</v>
      </c>
      <c r="C677">
        <v>2576005</v>
      </c>
      <c r="D677">
        <v>112</v>
      </c>
    </row>
    <row r="678" spans="1:4" x14ac:dyDescent="0.25">
      <c r="A678" t="str">
        <f>T("   NG")</f>
        <v xml:space="preserve">   NG</v>
      </c>
      <c r="B678" t="str">
        <f>T("   Nigéria")</f>
        <v xml:space="preserve">   Nigéria</v>
      </c>
      <c r="C678">
        <v>2576005</v>
      </c>
      <c r="D678">
        <v>112</v>
      </c>
    </row>
    <row r="679" spans="1:4" x14ac:dyDescent="0.25">
      <c r="A679" t="str">
        <f>T("620329")</f>
        <v>620329</v>
      </c>
      <c r="B679"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680" spans="1:4" x14ac:dyDescent="0.25">
      <c r="A680" t="str">
        <f>T("   ZZZ_Monde")</f>
        <v xml:space="preserve">   ZZZ_Monde</v>
      </c>
      <c r="B680" t="str">
        <f>T("   ZZZ_Monde")</f>
        <v xml:space="preserve">   ZZZ_Monde</v>
      </c>
      <c r="C680">
        <v>33965702</v>
      </c>
      <c r="D680">
        <v>6880</v>
      </c>
    </row>
    <row r="681" spans="1:4" x14ac:dyDescent="0.25">
      <c r="A681" t="str">
        <f>T("   CD")</f>
        <v xml:space="preserve">   CD</v>
      </c>
      <c r="B681" t="str">
        <f>T("   Congo, République Démocratique")</f>
        <v xml:space="preserve">   Congo, République Démocratique</v>
      </c>
      <c r="C681">
        <v>20012000</v>
      </c>
      <c r="D681">
        <v>3480</v>
      </c>
    </row>
    <row r="682" spans="1:4" x14ac:dyDescent="0.25">
      <c r="A682" t="str">
        <f>T("   FR")</f>
        <v xml:space="preserve">   FR</v>
      </c>
      <c r="B682" t="str">
        <f>T("   France")</f>
        <v xml:space="preserve">   France</v>
      </c>
      <c r="C682">
        <v>3949000</v>
      </c>
      <c r="D682">
        <v>300</v>
      </c>
    </row>
    <row r="683" spans="1:4" x14ac:dyDescent="0.25">
      <c r="A683" t="str">
        <f>T("   GA")</f>
        <v xml:space="preserve">   GA</v>
      </c>
      <c r="B683" t="str">
        <f>T("   Gabon")</f>
        <v xml:space="preserve">   Gabon</v>
      </c>
      <c r="C683">
        <v>10004702</v>
      </c>
      <c r="D683">
        <v>3100</v>
      </c>
    </row>
    <row r="684" spans="1:4" x14ac:dyDescent="0.25">
      <c r="A684" t="str">
        <f>T("620520")</f>
        <v>620520</v>
      </c>
      <c r="B684" t="str">
        <f>T("Chemises et chemisettes, de coton, pour hommes ou garçonnets (autres qu'en bonneterie et sauf chemises de nuit et gilets de corps)")</f>
        <v>Chemises et chemisettes, de coton, pour hommes ou garçonnets (autres qu'en bonneterie et sauf chemises de nuit et gilets de corps)</v>
      </c>
    </row>
    <row r="685" spans="1:4" x14ac:dyDescent="0.25">
      <c r="A685" t="str">
        <f>T("   ZZZ_Monde")</f>
        <v xml:space="preserve">   ZZZ_Monde</v>
      </c>
      <c r="B685" t="str">
        <f>T("   ZZZ_Monde")</f>
        <v xml:space="preserve">   ZZZ_Monde</v>
      </c>
      <c r="C685">
        <v>600000</v>
      </c>
      <c r="D685">
        <v>7000</v>
      </c>
    </row>
    <row r="686" spans="1:4" x14ac:dyDescent="0.25">
      <c r="A686" t="str">
        <f>T("   MA")</f>
        <v xml:space="preserve">   MA</v>
      </c>
      <c r="B686" t="str">
        <f>T("   Maroc")</f>
        <v xml:space="preserve">   Maroc</v>
      </c>
      <c r="C686">
        <v>600000</v>
      </c>
      <c r="D686">
        <v>7000</v>
      </c>
    </row>
    <row r="687" spans="1:4" x14ac:dyDescent="0.25">
      <c r="A687" t="str">
        <f>T("620590")</f>
        <v>620590</v>
      </c>
      <c r="B687"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688" spans="1:4" x14ac:dyDescent="0.25">
      <c r="A688" t="str">
        <f>T("   ZZZ_Monde")</f>
        <v xml:space="preserve">   ZZZ_Monde</v>
      </c>
      <c r="B688" t="str">
        <f>T("   ZZZ_Monde")</f>
        <v xml:space="preserve">   ZZZ_Monde</v>
      </c>
      <c r="C688">
        <v>28500000</v>
      </c>
      <c r="D688">
        <v>33385</v>
      </c>
    </row>
    <row r="689" spans="1:4" x14ac:dyDescent="0.25">
      <c r="A689" t="str">
        <f>T("   BE")</f>
        <v xml:space="preserve">   BE</v>
      </c>
      <c r="B689" t="str">
        <f>T("   Belgique")</f>
        <v xml:space="preserve">   Belgique</v>
      </c>
      <c r="C689">
        <v>3600000</v>
      </c>
      <c r="D689">
        <v>5000</v>
      </c>
    </row>
    <row r="690" spans="1:4" x14ac:dyDescent="0.25">
      <c r="A690" t="str">
        <f>T("   BI")</f>
        <v xml:space="preserve">   BI</v>
      </c>
      <c r="B690" t="str">
        <f>T("   Burundi")</f>
        <v xml:space="preserve">   Burundi</v>
      </c>
      <c r="C690">
        <v>700000</v>
      </c>
      <c r="D690">
        <v>800</v>
      </c>
    </row>
    <row r="691" spans="1:4" x14ac:dyDescent="0.25">
      <c r="A691" t="str">
        <f>T("   CA")</f>
        <v xml:space="preserve">   CA</v>
      </c>
      <c r="B691" t="str">
        <f>T("   Canada")</f>
        <v xml:space="preserve">   Canada</v>
      </c>
      <c r="C691">
        <v>600000</v>
      </c>
      <c r="D691">
        <v>300</v>
      </c>
    </row>
    <row r="692" spans="1:4" x14ac:dyDescent="0.25">
      <c r="A692" t="str">
        <f>T("   CD")</f>
        <v xml:space="preserve">   CD</v>
      </c>
      <c r="B692" t="str">
        <f>T("   Congo, République Démocratique")</f>
        <v xml:space="preserve">   Congo, République Démocratique</v>
      </c>
      <c r="C692">
        <v>300000</v>
      </c>
      <c r="D692">
        <v>400</v>
      </c>
    </row>
    <row r="693" spans="1:4" x14ac:dyDescent="0.25">
      <c r="A693" t="str">
        <f>T("   CL")</f>
        <v xml:space="preserve">   CL</v>
      </c>
      <c r="B693" t="str">
        <f>T("   Chili")</f>
        <v xml:space="preserve">   Chili</v>
      </c>
      <c r="C693">
        <v>750000</v>
      </c>
      <c r="D693">
        <v>1000</v>
      </c>
    </row>
    <row r="694" spans="1:4" x14ac:dyDescent="0.25">
      <c r="A694" t="str">
        <f>T("   CM")</f>
        <v xml:space="preserve">   CM</v>
      </c>
      <c r="B694" t="str">
        <f>T("   Cameroun")</f>
        <v xml:space="preserve">   Cameroun</v>
      </c>
      <c r="C694">
        <v>1600000</v>
      </c>
      <c r="D694">
        <v>1500</v>
      </c>
    </row>
    <row r="695" spans="1:4" x14ac:dyDescent="0.25">
      <c r="A695" t="str">
        <f>T("   DE")</f>
        <v xml:space="preserve">   DE</v>
      </c>
      <c r="B695" t="str">
        <f>T("   Allemagne")</f>
        <v xml:space="preserve">   Allemagne</v>
      </c>
      <c r="C695">
        <v>1900000</v>
      </c>
      <c r="D695">
        <v>2600</v>
      </c>
    </row>
    <row r="696" spans="1:4" x14ac:dyDescent="0.25">
      <c r="A696" t="str">
        <f>T("   DK")</f>
        <v xml:space="preserve">   DK</v>
      </c>
      <c r="B696" t="str">
        <f>T("   Danemark")</f>
        <v xml:space="preserve">   Danemark</v>
      </c>
      <c r="C696">
        <v>900000</v>
      </c>
      <c r="D696">
        <v>600</v>
      </c>
    </row>
    <row r="697" spans="1:4" x14ac:dyDescent="0.25">
      <c r="A697" t="str">
        <f>T("   DZ")</f>
        <v xml:space="preserve">   DZ</v>
      </c>
      <c r="B697" t="str">
        <f>T("   Algérie")</f>
        <v xml:space="preserve">   Algérie</v>
      </c>
      <c r="C697">
        <v>500000</v>
      </c>
      <c r="D697">
        <v>600</v>
      </c>
    </row>
    <row r="698" spans="1:4" x14ac:dyDescent="0.25">
      <c r="A698" t="str">
        <f>T("   FR")</f>
        <v xml:space="preserve">   FR</v>
      </c>
      <c r="B698" t="str">
        <f>T("   France")</f>
        <v xml:space="preserve">   France</v>
      </c>
      <c r="C698">
        <v>4900000</v>
      </c>
      <c r="D698">
        <v>4700</v>
      </c>
    </row>
    <row r="699" spans="1:4" x14ac:dyDescent="0.25">
      <c r="A699" t="str">
        <f>T("   GA")</f>
        <v xml:space="preserve">   GA</v>
      </c>
      <c r="B699" t="str">
        <f>T("   Gabon")</f>
        <v xml:space="preserve">   Gabon</v>
      </c>
      <c r="C699">
        <v>1000000</v>
      </c>
      <c r="D699">
        <v>1100</v>
      </c>
    </row>
    <row r="700" spans="1:4" x14ac:dyDescent="0.25">
      <c r="A700" t="str">
        <f>T("   GN")</f>
        <v xml:space="preserve">   GN</v>
      </c>
      <c r="B700" t="str">
        <f>T("   Guinée")</f>
        <v xml:space="preserve">   Guinée</v>
      </c>
      <c r="C700">
        <v>300000</v>
      </c>
      <c r="D700">
        <v>1000</v>
      </c>
    </row>
    <row r="701" spans="1:4" x14ac:dyDescent="0.25">
      <c r="A701" t="str">
        <f>T("   GP")</f>
        <v xml:space="preserve">   GP</v>
      </c>
      <c r="B701" t="str">
        <f>T("   Guadeloupe")</f>
        <v xml:space="preserve">   Guadeloupe</v>
      </c>
      <c r="C701">
        <v>700000</v>
      </c>
      <c r="D701">
        <v>600</v>
      </c>
    </row>
    <row r="702" spans="1:4" x14ac:dyDescent="0.25">
      <c r="A702" t="str">
        <f>T("   LR")</f>
        <v xml:space="preserve">   LR</v>
      </c>
      <c r="B702" t="str">
        <f>T("   Libéria")</f>
        <v xml:space="preserve">   Libéria</v>
      </c>
      <c r="C702">
        <v>600000</v>
      </c>
      <c r="D702">
        <v>800</v>
      </c>
    </row>
    <row r="703" spans="1:4" x14ac:dyDescent="0.25">
      <c r="A703" t="str">
        <f>T("   MA")</f>
        <v xml:space="preserve">   MA</v>
      </c>
      <c r="B703" t="str">
        <f>T("   Maroc")</f>
        <v xml:space="preserve">   Maroc</v>
      </c>
      <c r="C703">
        <v>1100000</v>
      </c>
      <c r="D703">
        <v>1350</v>
      </c>
    </row>
    <row r="704" spans="1:4" x14ac:dyDescent="0.25">
      <c r="A704" t="str">
        <f>T("   ML")</f>
        <v xml:space="preserve">   ML</v>
      </c>
      <c r="B704" t="str">
        <f>T("   Mali")</f>
        <v xml:space="preserve">   Mali</v>
      </c>
      <c r="C704">
        <v>400000</v>
      </c>
      <c r="D704">
        <v>500</v>
      </c>
    </row>
    <row r="705" spans="1:4" x14ac:dyDescent="0.25">
      <c r="A705" t="str">
        <f>T("   MQ")</f>
        <v xml:space="preserve">   MQ</v>
      </c>
      <c r="B705" t="str">
        <f>T("   Martinique")</f>
        <v xml:space="preserve">   Martinique</v>
      </c>
      <c r="C705">
        <v>450000</v>
      </c>
      <c r="D705">
        <v>550</v>
      </c>
    </row>
    <row r="706" spans="1:4" x14ac:dyDescent="0.25">
      <c r="A706" t="str">
        <f>T("   NE")</f>
        <v xml:space="preserve">   NE</v>
      </c>
      <c r="B706" t="str">
        <f>T("   Niger")</f>
        <v xml:space="preserve">   Niger</v>
      </c>
      <c r="C706">
        <v>1150000</v>
      </c>
      <c r="D706">
        <v>1800</v>
      </c>
    </row>
    <row r="707" spans="1:4" x14ac:dyDescent="0.25">
      <c r="A707" t="str">
        <f>T("   NL")</f>
        <v xml:space="preserve">   NL</v>
      </c>
      <c r="B707" t="str">
        <f>T("   Pays-bas")</f>
        <v xml:space="preserve">   Pays-bas</v>
      </c>
      <c r="C707">
        <v>1000000</v>
      </c>
      <c r="D707">
        <v>650</v>
      </c>
    </row>
    <row r="708" spans="1:4" x14ac:dyDescent="0.25">
      <c r="A708" t="str">
        <f>T("   RW")</f>
        <v xml:space="preserve">   RW</v>
      </c>
      <c r="B708" t="str">
        <f>T("   Rwanda")</f>
        <v xml:space="preserve">   Rwanda</v>
      </c>
      <c r="C708">
        <v>800000</v>
      </c>
      <c r="D708">
        <v>1400</v>
      </c>
    </row>
    <row r="709" spans="1:4" x14ac:dyDescent="0.25">
      <c r="A709" t="str">
        <f>T("   SN")</f>
        <v xml:space="preserve">   SN</v>
      </c>
      <c r="B709" t="str">
        <f>T("   Sénégal")</f>
        <v xml:space="preserve">   Sénégal</v>
      </c>
      <c r="C709">
        <v>1600000</v>
      </c>
      <c r="D709">
        <v>1100</v>
      </c>
    </row>
    <row r="710" spans="1:4" x14ac:dyDescent="0.25">
      <c r="A710" t="str">
        <f>T("   TD")</f>
        <v xml:space="preserve">   TD</v>
      </c>
      <c r="B710" t="str">
        <f>T("   Tchad")</f>
        <v xml:space="preserve">   Tchad</v>
      </c>
      <c r="C710">
        <v>500000</v>
      </c>
      <c r="D710">
        <v>1700</v>
      </c>
    </row>
    <row r="711" spans="1:4" x14ac:dyDescent="0.25">
      <c r="A711" t="str">
        <f>T("   TZ")</f>
        <v xml:space="preserve">   TZ</v>
      </c>
      <c r="B711" t="str">
        <f>T("   Tanzanie")</f>
        <v xml:space="preserve">   Tanzanie</v>
      </c>
      <c r="C711">
        <v>850000</v>
      </c>
      <c r="D711">
        <v>935</v>
      </c>
    </row>
    <row r="712" spans="1:4" x14ac:dyDescent="0.25">
      <c r="A712" t="str">
        <f>T("   UG")</f>
        <v xml:space="preserve">   UG</v>
      </c>
      <c r="B712" t="str">
        <f>T("   Ouganda")</f>
        <v xml:space="preserve">   Ouganda</v>
      </c>
      <c r="C712">
        <v>300000</v>
      </c>
      <c r="D712">
        <v>300</v>
      </c>
    </row>
    <row r="713" spans="1:4" x14ac:dyDescent="0.25">
      <c r="A713" t="str">
        <f>T("   US")</f>
        <v xml:space="preserve">   US</v>
      </c>
      <c r="B713" t="str">
        <f>T("   Etats-Unis")</f>
        <v xml:space="preserve">   Etats-Unis</v>
      </c>
      <c r="C713">
        <v>1500000</v>
      </c>
      <c r="D713">
        <v>1800</v>
      </c>
    </row>
    <row r="714" spans="1:4" x14ac:dyDescent="0.25">
      <c r="A714" t="str">
        <f>T("   ZA")</f>
        <v xml:space="preserve">   ZA</v>
      </c>
      <c r="B714" t="str">
        <f>T("   Afrique du Sud")</f>
        <v xml:space="preserve">   Afrique du Sud</v>
      </c>
      <c r="C714">
        <v>500000</v>
      </c>
      <c r="D714">
        <v>300</v>
      </c>
    </row>
    <row r="715" spans="1:4" x14ac:dyDescent="0.25">
      <c r="A715" t="str">
        <f>T("621020")</f>
        <v>621020</v>
      </c>
      <c r="B715"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16" spans="1:4" x14ac:dyDescent="0.25">
      <c r="A716" t="str">
        <f>T("   ZZZ_Monde")</f>
        <v xml:space="preserve">   ZZZ_Monde</v>
      </c>
      <c r="B716" t="str">
        <f>T("   ZZZ_Monde")</f>
        <v xml:space="preserve">   ZZZ_Monde</v>
      </c>
      <c r="C716">
        <v>703600</v>
      </c>
      <c r="D716">
        <v>437</v>
      </c>
    </row>
    <row r="717" spans="1:4" x14ac:dyDescent="0.25">
      <c r="A717" t="str">
        <f>T("   FR")</f>
        <v xml:space="preserve">   FR</v>
      </c>
      <c r="B717" t="str">
        <f>T("   France")</f>
        <v xml:space="preserve">   France</v>
      </c>
      <c r="C717">
        <v>703600</v>
      </c>
      <c r="D717">
        <v>437</v>
      </c>
    </row>
    <row r="718" spans="1:4" x14ac:dyDescent="0.25">
      <c r="A718" t="str">
        <f>T("621040")</f>
        <v>621040</v>
      </c>
      <c r="B718"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19" spans="1:4" x14ac:dyDescent="0.25">
      <c r="A719" t="str">
        <f>T("   ZZZ_Monde")</f>
        <v xml:space="preserve">   ZZZ_Monde</v>
      </c>
      <c r="B719" t="str">
        <f>T("   ZZZ_Monde")</f>
        <v xml:space="preserve">   ZZZ_Monde</v>
      </c>
      <c r="C719">
        <v>12393938</v>
      </c>
      <c r="D719">
        <v>5350</v>
      </c>
    </row>
    <row r="720" spans="1:4" x14ac:dyDescent="0.25">
      <c r="A720" t="str">
        <f>T("   CA")</f>
        <v xml:space="preserve">   CA</v>
      </c>
      <c r="B720" t="str">
        <f>T("   Canada")</f>
        <v xml:space="preserve">   Canada</v>
      </c>
      <c r="C720">
        <v>1200000</v>
      </c>
      <c r="D720">
        <v>1000</v>
      </c>
    </row>
    <row r="721" spans="1:4" x14ac:dyDescent="0.25">
      <c r="A721" t="str">
        <f>T("   FR")</f>
        <v xml:space="preserve">   FR</v>
      </c>
      <c r="B721" t="str">
        <f>T("   France")</f>
        <v xml:space="preserve">   France</v>
      </c>
      <c r="C721">
        <v>9193938</v>
      </c>
      <c r="D721">
        <v>2350</v>
      </c>
    </row>
    <row r="722" spans="1:4" x14ac:dyDescent="0.25">
      <c r="A722" t="str">
        <f>T("   ZM")</f>
        <v xml:space="preserve">   ZM</v>
      </c>
      <c r="B722" t="str">
        <f>T("   Zambie")</f>
        <v xml:space="preserve">   Zambie</v>
      </c>
      <c r="C722">
        <v>2000000</v>
      </c>
      <c r="D722">
        <v>2000</v>
      </c>
    </row>
    <row r="723" spans="1:4" x14ac:dyDescent="0.25">
      <c r="A723" t="str">
        <f>T("621050")</f>
        <v>621050</v>
      </c>
      <c r="B723"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24" spans="1:4" x14ac:dyDescent="0.25">
      <c r="A724" t="str">
        <f>T("   ZZZ_Monde")</f>
        <v xml:space="preserve">   ZZZ_Monde</v>
      </c>
      <c r="B724" t="str">
        <f>T("   ZZZ_Monde")</f>
        <v xml:space="preserve">   ZZZ_Monde</v>
      </c>
      <c r="C724">
        <v>500000</v>
      </c>
      <c r="D724">
        <v>500</v>
      </c>
    </row>
    <row r="725" spans="1:4" x14ac:dyDescent="0.25">
      <c r="A725" t="str">
        <f>T("   UG")</f>
        <v xml:space="preserve">   UG</v>
      </c>
      <c r="B725" t="str">
        <f>T("   Ouganda")</f>
        <v xml:space="preserve">   Ouganda</v>
      </c>
      <c r="C725">
        <v>500000</v>
      </c>
      <c r="D725">
        <v>500</v>
      </c>
    </row>
    <row r="726" spans="1:4" x14ac:dyDescent="0.25">
      <c r="A726" t="str">
        <f>T("621132")</f>
        <v>621132</v>
      </c>
      <c r="B726" t="str">
        <f>T("Survêtements de sport 'trainings' et autres vêtements n.d.a., de coton, pour hommes ou garçonnets (autres qu'en bonneterie)")</f>
        <v>Survêtements de sport 'trainings' et autres vêtements n.d.a., de coton, pour hommes ou garçonnets (autres qu'en bonneterie)</v>
      </c>
    </row>
    <row r="727" spans="1:4" x14ac:dyDescent="0.25">
      <c r="A727" t="str">
        <f>T("   ZZZ_Monde")</f>
        <v xml:space="preserve">   ZZZ_Monde</v>
      </c>
      <c r="B727" t="str">
        <f>T("   ZZZ_Monde")</f>
        <v xml:space="preserve">   ZZZ_Monde</v>
      </c>
      <c r="C727">
        <v>2000000</v>
      </c>
      <c r="D727">
        <v>500</v>
      </c>
    </row>
    <row r="728" spans="1:4" x14ac:dyDescent="0.25">
      <c r="A728" t="str">
        <f>T("   FR")</f>
        <v xml:space="preserve">   FR</v>
      </c>
      <c r="B728" t="str">
        <f>T("   France")</f>
        <v xml:space="preserve">   France</v>
      </c>
      <c r="C728">
        <v>2000000</v>
      </c>
      <c r="D728">
        <v>500</v>
      </c>
    </row>
    <row r="729" spans="1:4" x14ac:dyDescent="0.25">
      <c r="A729" t="str">
        <f>T("630510")</f>
        <v>630510</v>
      </c>
      <c r="B729" t="str">
        <f>T("Sacs et sachets d'emballage de jute ou d'autres fibres textiles libériennes du n° 5303")</f>
        <v>Sacs et sachets d'emballage de jute ou d'autres fibres textiles libériennes du n° 5303</v>
      </c>
    </row>
    <row r="730" spans="1:4" x14ac:dyDescent="0.25">
      <c r="A730" t="str">
        <f>T("   ZZZ_Monde")</f>
        <v xml:space="preserve">   ZZZ_Monde</v>
      </c>
      <c r="B730" t="str">
        <f>T("   ZZZ_Monde")</f>
        <v xml:space="preserve">   ZZZ_Monde</v>
      </c>
      <c r="C730">
        <v>53190416</v>
      </c>
      <c r="D730">
        <v>97099.7</v>
      </c>
    </row>
    <row r="731" spans="1:4" x14ac:dyDescent="0.25">
      <c r="A731" t="str">
        <f>T("   BD")</f>
        <v xml:space="preserve">   BD</v>
      </c>
      <c r="B731" t="str">
        <f>T("   Bangladesh")</f>
        <v xml:space="preserve">   Bangladesh</v>
      </c>
      <c r="C731">
        <v>8436560</v>
      </c>
      <c r="D731">
        <v>19471.8</v>
      </c>
    </row>
    <row r="732" spans="1:4" x14ac:dyDescent="0.25">
      <c r="A732" t="str">
        <f>T("   IN")</f>
        <v xml:space="preserve">   IN</v>
      </c>
      <c r="B732" t="str">
        <f>T("   Inde")</f>
        <v xml:space="preserve">   Inde</v>
      </c>
      <c r="C732">
        <v>42053856</v>
      </c>
      <c r="D732">
        <v>73927.899999999994</v>
      </c>
    </row>
    <row r="733" spans="1:4" x14ac:dyDescent="0.25">
      <c r="A733" t="str">
        <f>T("   TG")</f>
        <v xml:space="preserve">   TG</v>
      </c>
      <c r="B733" t="str">
        <f>T("   Togo")</f>
        <v xml:space="preserve">   Togo</v>
      </c>
      <c r="C733">
        <v>2700000</v>
      </c>
      <c r="D733">
        <v>3700</v>
      </c>
    </row>
    <row r="734" spans="1:4" x14ac:dyDescent="0.25">
      <c r="A734" t="str">
        <f>T("630619")</f>
        <v>630619</v>
      </c>
      <c r="B734" t="str">
        <f>T("Bâches et stores d'extérieur de matières textiles (autres que de coton ou fibres synthétiques et sauf auvents plats en tissus légers, confectionnés selon le type de bâche)")</f>
        <v>Bâches et stores d'extérieur de matières textiles (autres que de coton ou fibres synthétiques et sauf auvents plats en tissus légers, confectionnés selon le type de bâche)</v>
      </c>
    </row>
    <row r="735" spans="1:4" x14ac:dyDescent="0.25">
      <c r="A735" t="str">
        <f>T("   ZZZ_Monde")</f>
        <v xml:space="preserve">   ZZZ_Monde</v>
      </c>
      <c r="B735" t="str">
        <f>T("   ZZZ_Monde")</f>
        <v xml:space="preserve">   ZZZ_Monde</v>
      </c>
      <c r="C735">
        <v>655960</v>
      </c>
      <c r="D735">
        <v>80</v>
      </c>
    </row>
    <row r="736" spans="1:4" x14ac:dyDescent="0.25">
      <c r="A736" t="str">
        <f>T("   GM")</f>
        <v xml:space="preserve">   GM</v>
      </c>
      <c r="B736" t="str">
        <f>T("   Gambie")</f>
        <v xml:space="preserve">   Gambie</v>
      </c>
      <c r="C736">
        <v>655960</v>
      </c>
      <c r="D736">
        <v>80</v>
      </c>
    </row>
    <row r="737" spans="1:4" x14ac:dyDescent="0.25">
      <c r="A737" t="str">
        <f>T("630900")</f>
        <v>630900</v>
      </c>
      <c r="B737"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38" spans="1:4" x14ac:dyDescent="0.25">
      <c r="A738" t="str">
        <f>T("   ZZZ_Monde")</f>
        <v xml:space="preserve">   ZZZ_Monde</v>
      </c>
      <c r="B738" t="str">
        <f>T("   ZZZ_Monde")</f>
        <v xml:space="preserve">   ZZZ_Monde</v>
      </c>
      <c r="C738">
        <v>13500000</v>
      </c>
      <c r="D738">
        <v>40900</v>
      </c>
    </row>
    <row r="739" spans="1:4" x14ac:dyDescent="0.25">
      <c r="A739" t="str">
        <f>T("   CI")</f>
        <v xml:space="preserve">   CI</v>
      </c>
      <c r="B739" t="str">
        <f>T("   Côte d'Ivoire")</f>
        <v xml:space="preserve">   Côte d'Ivoire</v>
      </c>
      <c r="C739">
        <v>11000000</v>
      </c>
      <c r="D739">
        <v>38000</v>
      </c>
    </row>
    <row r="740" spans="1:4" x14ac:dyDescent="0.25">
      <c r="A740" t="str">
        <f>T("   FR")</f>
        <v xml:space="preserve">   FR</v>
      </c>
      <c r="B740" t="str">
        <f>T("   France")</f>
        <v xml:space="preserve">   France</v>
      </c>
      <c r="C740">
        <v>1000000</v>
      </c>
      <c r="D740">
        <v>2000</v>
      </c>
    </row>
    <row r="741" spans="1:4" x14ac:dyDescent="0.25">
      <c r="A741" t="str">
        <f>T("   ZA")</f>
        <v xml:space="preserve">   ZA</v>
      </c>
      <c r="B741" t="str">
        <f>T("   Afrique du Sud")</f>
        <v xml:space="preserve">   Afrique du Sud</v>
      </c>
      <c r="C741">
        <v>1500000</v>
      </c>
      <c r="D741">
        <v>900</v>
      </c>
    </row>
    <row r="742" spans="1:4" x14ac:dyDescent="0.25">
      <c r="A742" t="str">
        <f>T("640419")</f>
        <v>640419</v>
      </c>
      <c r="B742" t="str">
        <f>T("Chaussures à semelles extérieures en caoutchouc ou en matière plastique et à dessus en matières textiles (sauf chaussures de sport, y.c. chaussures dites de tennis, de basket-ball, de gymnastique, d'entraînement et chaussures simil. ainsi que chaussures a")</f>
        <v>Chaussures à semelles extérieures en caoutchouc ou en matière plastique et à dessus en matières textiles (sauf chaussures de sport, y.c. chaussures dites de tennis, de basket-ball, de gymnastique, d'entraînement et chaussures simil. ainsi que chaussures a</v>
      </c>
    </row>
    <row r="743" spans="1:4" x14ac:dyDescent="0.25">
      <c r="A743" t="str">
        <f>T("   ZZZ_Monde")</f>
        <v xml:space="preserve">   ZZZ_Monde</v>
      </c>
      <c r="B743" t="str">
        <f>T("   ZZZ_Monde")</f>
        <v xml:space="preserve">   ZZZ_Monde</v>
      </c>
      <c r="C743">
        <v>700000</v>
      </c>
      <c r="D743">
        <v>2000</v>
      </c>
    </row>
    <row r="744" spans="1:4" x14ac:dyDescent="0.25">
      <c r="A744" t="str">
        <f>T("   GA")</f>
        <v xml:space="preserve">   GA</v>
      </c>
      <c r="B744" t="str">
        <f>T("   Gabon")</f>
        <v xml:space="preserve">   Gabon</v>
      </c>
      <c r="C744">
        <v>700000</v>
      </c>
      <c r="D744">
        <v>2000</v>
      </c>
    </row>
    <row r="745" spans="1:4" x14ac:dyDescent="0.25">
      <c r="A745" t="str">
        <f>T("650590")</f>
        <v>650590</v>
      </c>
      <c r="B745" t="str">
        <f>T("Chapeaux et autres coiffures en bonneterie ou confectionnés à l'aide de dentelles, feutre ou autres produits textiles, en pièces -mais non en bandes-, même garnis (sauf résilles, filets à cheveux et coiffures pour animaux ou ayant le caractère de jouets o")</f>
        <v>Chapeaux et autres coiffures en bonneterie ou confectionnés à l'aide de dentelles, feutre ou autres produits textiles, en pièces -mais non en bandes-, même garnis (sauf résilles, filets à cheveux et coiffures pour animaux ou ayant le caractère de jouets o</v>
      </c>
    </row>
    <row r="746" spans="1:4" x14ac:dyDescent="0.25">
      <c r="A746" t="str">
        <f>T("   ZZZ_Monde")</f>
        <v xml:space="preserve">   ZZZ_Monde</v>
      </c>
      <c r="B746" t="str">
        <f>T("   ZZZ_Monde")</f>
        <v xml:space="preserve">   ZZZ_Monde</v>
      </c>
      <c r="C746">
        <v>7005653</v>
      </c>
      <c r="D746">
        <v>658</v>
      </c>
    </row>
    <row r="747" spans="1:4" x14ac:dyDescent="0.25">
      <c r="A747" t="str">
        <f>T("   NG")</f>
        <v xml:space="preserve">   NG</v>
      </c>
      <c r="B747" t="str">
        <f>T("   Nigéria")</f>
        <v xml:space="preserve">   Nigéria</v>
      </c>
      <c r="C747">
        <v>7005653</v>
      </c>
      <c r="D747">
        <v>658</v>
      </c>
    </row>
    <row r="748" spans="1:4" x14ac:dyDescent="0.25">
      <c r="A748" t="str">
        <f>T("650699")</f>
        <v>650699</v>
      </c>
      <c r="B748" t="str">
        <f>T("Chapeaux et autres coiffures, même garnis, n.d.a.")</f>
        <v>Chapeaux et autres coiffures, même garnis, n.d.a.</v>
      </c>
    </row>
    <row r="749" spans="1:4" x14ac:dyDescent="0.25">
      <c r="A749" t="str">
        <f>T("   ZZZ_Monde")</f>
        <v xml:space="preserve">   ZZZ_Monde</v>
      </c>
      <c r="B749" t="str">
        <f>T("   ZZZ_Monde")</f>
        <v xml:space="preserve">   ZZZ_Monde</v>
      </c>
      <c r="C749">
        <v>223255</v>
      </c>
      <c r="D749">
        <v>54</v>
      </c>
    </row>
    <row r="750" spans="1:4" x14ac:dyDescent="0.25">
      <c r="A750" t="str">
        <f>T("   NL")</f>
        <v xml:space="preserve">   NL</v>
      </c>
      <c r="B750" t="str">
        <f>T("   Pays-bas")</f>
        <v xml:space="preserve">   Pays-bas</v>
      </c>
      <c r="C750">
        <v>223255</v>
      </c>
      <c r="D750">
        <v>54</v>
      </c>
    </row>
    <row r="751" spans="1:4" x14ac:dyDescent="0.25">
      <c r="A751" t="str">
        <f>T("660110")</f>
        <v>660110</v>
      </c>
      <c r="B751" t="str">
        <f>T("Parasols de jardin et articles simil. (sauf tentes de plage)")</f>
        <v>Parasols de jardin et articles simil. (sauf tentes de plage)</v>
      </c>
    </row>
    <row r="752" spans="1:4" x14ac:dyDescent="0.25">
      <c r="A752" t="str">
        <f>T("   ZZZ_Monde")</f>
        <v xml:space="preserve">   ZZZ_Monde</v>
      </c>
      <c r="B752" t="str">
        <f>T("   ZZZ_Monde")</f>
        <v xml:space="preserve">   ZZZ_Monde</v>
      </c>
      <c r="C752">
        <v>20170000</v>
      </c>
      <c r="D752">
        <v>1990</v>
      </c>
    </row>
    <row r="753" spans="1:4" x14ac:dyDescent="0.25">
      <c r="A753" t="str">
        <f>T("   GQ")</f>
        <v xml:space="preserve">   GQ</v>
      </c>
      <c r="B753" t="str">
        <f>T("   Guinée Equatoriale")</f>
        <v xml:space="preserve">   Guinée Equatoriale</v>
      </c>
      <c r="C753">
        <v>370000</v>
      </c>
      <c r="D753">
        <v>40</v>
      </c>
    </row>
    <row r="754" spans="1:4" x14ac:dyDescent="0.25">
      <c r="A754" t="str">
        <f>T("   ML")</f>
        <v xml:space="preserve">   ML</v>
      </c>
      <c r="B754" t="str">
        <f>T("   Mali")</f>
        <v xml:space="preserve">   Mali</v>
      </c>
      <c r="C754">
        <v>19800000</v>
      </c>
      <c r="D754">
        <v>1950</v>
      </c>
    </row>
    <row r="755" spans="1:4" x14ac:dyDescent="0.25">
      <c r="A755" t="str">
        <f>T("660199")</f>
        <v>660199</v>
      </c>
      <c r="B755"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756" spans="1:4" x14ac:dyDescent="0.25">
      <c r="A756" t="str">
        <f>T("   ZZZ_Monde")</f>
        <v xml:space="preserve">   ZZZ_Monde</v>
      </c>
      <c r="B756" t="str">
        <f>T("   ZZZ_Monde")</f>
        <v xml:space="preserve">   ZZZ_Monde</v>
      </c>
      <c r="C756">
        <v>13914476</v>
      </c>
      <c r="D756">
        <v>1404</v>
      </c>
    </row>
    <row r="757" spans="1:4" x14ac:dyDescent="0.25">
      <c r="A757" t="str">
        <f>T("   BF")</f>
        <v xml:space="preserve">   BF</v>
      </c>
      <c r="B757" t="str">
        <f>T("   Burkina Faso")</f>
        <v xml:space="preserve">   Burkina Faso</v>
      </c>
      <c r="C757">
        <v>12800000</v>
      </c>
      <c r="D757">
        <v>1300</v>
      </c>
    </row>
    <row r="758" spans="1:4" x14ac:dyDescent="0.25">
      <c r="A758" t="str">
        <f>T("   NG")</f>
        <v xml:space="preserve">   NG</v>
      </c>
      <c r="B758" t="str">
        <f>T("   Nigéria")</f>
        <v xml:space="preserve">   Nigéria</v>
      </c>
      <c r="C758">
        <v>1114476</v>
      </c>
      <c r="D758">
        <v>104</v>
      </c>
    </row>
    <row r="759" spans="1:4" x14ac:dyDescent="0.25">
      <c r="A759" t="str">
        <f>T("670290")</f>
        <v>670290</v>
      </c>
      <c r="B759" t="str">
        <f>T("Fleurs, feuillages et fruits artificiels, y.c. leurs parties; articles confectionnés en fleurs, feuillages ou fruits artificiels fabriqués par ligature, collage, emboîtage ou procédés simil. (autres qu'en matière plastique)")</f>
        <v>Fleurs, feuillages et fruits artificiels, y.c. leurs parties; articles confectionnés en fleurs, feuillages ou fruits artificiels fabriqués par ligature, collage, emboîtage ou procédés simil. (autres qu'en matière plastique)</v>
      </c>
    </row>
    <row r="760" spans="1:4" x14ac:dyDescent="0.25">
      <c r="A760" t="str">
        <f>T("   ZZZ_Monde")</f>
        <v xml:space="preserve">   ZZZ_Monde</v>
      </c>
      <c r="B760" t="str">
        <f>T("   ZZZ_Monde")</f>
        <v xml:space="preserve">   ZZZ_Monde</v>
      </c>
      <c r="C760">
        <v>266039</v>
      </c>
      <c r="D760">
        <v>1000</v>
      </c>
    </row>
    <row r="761" spans="1:4" x14ac:dyDescent="0.25">
      <c r="A761" t="str">
        <f>T("   LB")</f>
        <v xml:space="preserve">   LB</v>
      </c>
      <c r="B761" t="str">
        <f>T("   Liban")</f>
        <v xml:space="preserve">   Liban</v>
      </c>
      <c r="C761">
        <v>266039</v>
      </c>
      <c r="D761">
        <v>1000</v>
      </c>
    </row>
    <row r="762" spans="1:4" x14ac:dyDescent="0.25">
      <c r="A762" t="str">
        <f>T("680229")</f>
        <v>680229</v>
      </c>
      <c r="B762"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763" spans="1:4" x14ac:dyDescent="0.25">
      <c r="A763" t="str">
        <f>T("   ZZZ_Monde")</f>
        <v xml:space="preserve">   ZZZ_Monde</v>
      </c>
      <c r="B763" t="str">
        <f>T("   ZZZ_Monde")</f>
        <v xml:space="preserve">   ZZZ_Monde</v>
      </c>
      <c r="C763">
        <v>1900000</v>
      </c>
      <c r="D763">
        <v>48000</v>
      </c>
    </row>
    <row r="764" spans="1:4" x14ac:dyDescent="0.25">
      <c r="A764" t="str">
        <f>T("   GA")</f>
        <v xml:space="preserve">   GA</v>
      </c>
      <c r="B764" t="str">
        <f>T("   Gabon")</f>
        <v xml:space="preserve">   Gabon</v>
      </c>
      <c r="C764">
        <v>1900000</v>
      </c>
      <c r="D764">
        <v>48000</v>
      </c>
    </row>
    <row r="765" spans="1:4" x14ac:dyDescent="0.25">
      <c r="A765" t="str">
        <f>T("680430")</f>
        <v>680430</v>
      </c>
      <c r="B765" t="str">
        <f>T("Pierres à aiguiser ou à polir à la main")</f>
        <v>Pierres à aiguiser ou à polir à la main</v>
      </c>
    </row>
    <row r="766" spans="1:4" x14ac:dyDescent="0.25">
      <c r="A766" t="str">
        <f>T("   ZZZ_Monde")</f>
        <v xml:space="preserve">   ZZZ_Monde</v>
      </c>
      <c r="B766" t="str">
        <f>T("   ZZZ_Monde")</f>
        <v xml:space="preserve">   ZZZ_Monde</v>
      </c>
      <c r="C766">
        <v>525000</v>
      </c>
      <c r="D766">
        <v>11068</v>
      </c>
    </row>
    <row r="767" spans="1:4" x14ac:dyDescent="0.25">
      <c r="A767" t="str">
        <f>T("   DE")</f>
        <v xml:space="preserve">   DE</v>
      </c>
      <c r="B767" t="str">
        <f>T("   Allemagne")</f>
        <v xml:space="preserve">   Allemagne</v>
      </c>
      <c r="C767">
        <v>525000</v>
      </c>
      <c r="D767">
        <v>11068</v>
      </c>
    </row>
    <row r="768" spans="1:4" x14ac:dyDescent="0.25">
      <c r="A768" t="str">
        <f>T("691200")</f>
        <v>691200</v>
      </c>
      <c r="B768"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769" spans="1:4" x14ac:dyDescent="0.25">
      <c r="A769" t="str">
        <f>T("   ZZZ_Monde")</f>
        <v xml:space="preserve">   ZZZ_Monde</v>
      </c>
      <c r="B769" t="str">
        <f>T("   ZZZ_Monde")</f>
        <v xml:space="preserve">   ZZZ_Monde</v>
      </c>
      <c r="C769">
        <v>2041000</v>
      </c>
      <c r="D769">
        <v>5200</v>
      </c>
    </row>
    <row r="770" spans="1:4" x14ac:dyDescent="0.25">
      <c r="A770" t="str">
        <f>T("   FR")</f>
        <v xml:space="preserve">   FR</v>
      </c>
      <c r="B770" t="str">
        <f>T("   France")</f>
        <v xml:space="preserve">   France</v>
      </c>
      <c r="C770">
        <v>1799000</v>
      </c>
      <c r="D770">
        <v>5000</v>
      </c>
    </row>
    <row r="771" spans="1:4" x14ac:dyDescent="0.25">
      <c r="A771" t="str">
        <f>T("   GQ")</f>
        <v xml:space="preserve">   GQ</v>
      </c>
      <c r="B771" t="str">
        <f>T("   Guinée Equatoriale")</f>
        <v xml:space="preserve">   Guinée Equatoriale</v>
      </c>
      <c r="C771">
        <v>242000</v>
      </c>
      <c r="D771">
        <v>200</v>
      </c>
    </row>
    <row r="772" spans="1:4" x14ac:dyDescent="0.25">
      <c r="A772" t="str">
        <f>T("700490")</f>
        <v>700490</v>
      </c>
      <c r="B772" t="str">
        <f>T("FEUILLES EN VERRE ÉTIRÉ OU SOUFFLÉ MAIS NON AUTREMENT TRAVAILLÉ (AUTRES QU'EN VERRE COLORÉ DANS LA MASSE, OPACIFIÉ, PLAQUÉ [DOUBLÉ], OU À COUCHE ABSORBANTE, RÉFLÉCHISSANTE OU NON-RÉFLÉCHISSANTE)")</f>
        <v>FEUILLES EN VERRE ÉTIRÉ OU SOUFFLÉ MAIS NON AUTREMENT TRAVAILLÉ (AUTRES QU'EN VERRE COLORÉ DANS LA MASSE, OPACIFIÉ, PLAQUÉ [DOUBLÉ], OU À COUCHE ABSORBANTE, RÉFLÉCHISSANTE OU NON-RÉFLÉCHISSANTE)</v>
      </c>
    </row>
    <row r="773" spans="1:4" x14ac:dyDescent="0.25">
      <c r="A773" t="str">
        <f>T("   ZZZ_Monde")</f>
        <v xml:space="preserve">   ZZZ_Monde</v>
      </c>
      <c r="B773" t="str">
        <f>T("   ZZZ_Monde")</f>
        <v xml:space="preserve">   ZZZ_Monde</v>
      </c>
      <c r="C773">
        <v>1655000</v>
      </c>
      <c r="D773">
        <v>480</v>
      </c>
    </row>
    <row r="774" spans="1:4" x14ac:dyDescent="0.25">
      <c r="A774" t="str">
        <f>T("   GQ")</f>
        <v xml:space="preserve">   GQ</v>
      </c>
      <c r="B774" t="str">
        <f>T("   Guinée Equatoriale")</f>
        <v xml:space="preserve">   Guinée Equatoriale</v>
      </c>
      <c r="C774">
        <v>1655000</v>
      </c>
      <c r="D774">
        <v>480</v>
      </c>
    </row>
    <row r="775" spans="1:4" x14ac:dyDescent="0.25">
      <c r="A775" t="str">
        <f>T("701090")</f>
        <v>701090</v>
      </c>
      <c r="B775"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776" spans="1:4" x14ac:dyDescent="0.25">
      <c r="A776" t="str">
        <f>T("   ZZZ_Monde")</f>
        <v xml:space="preserve">   ZZZ_Monde</v>
      </c>
      <c r="B776" t="str">
        <f>T("   ZZZ_Monde")</f>
        <v xml:space="preserve">   ZZZ_Monde</v>
      </c>
      <c r="C776">
        <v>264000</v>
      </c>
      <c r="D776">
        <v>60</v>
      </c>
    </row>
    <row r="777" spans="1:4" x14ac:dyDescent="0.25">
      <c r="A777" t="str">
        <f>T("   CM")</f>
        <v xml:space="preserve">   CM</v>
      </c>
      <c r="B777" t="str">
        <f>T("   Cameroun")</f>
        <v xml:space="preserve">   Cameroun</v>
      </c>
      <c r="C777">
        <v>264000</v>
      </c>
      <c r="D777">
        <v>60</v>
      </c>
    </row>
    <row r="778" spans="1:4" x14ac:dyDescent="0.25">
      <c r="A778" t="str">
        <f>T("710490")</f>
        <v>710490</v>
      </c>
      <c r="B778" t="str">
        <f>T("Pierres de bijouterie et simil., synthétiques ou reconstituées, travaillées, même assorties, mais non enfilées, ni montées, ni serties et pierres de bijouterie et simil., synthétiques ou reconstituées, travaillées mais non assorties et enfilées temporaire")</f>
        <v>Pierres de bijouterie et simil., synthétiques ou reconstituées, travaillées, même assorties, mais non enfilées, ni montées, ni serties et pierres de bijouterie et simil., synthétiques ou reconstituées, travaillées mais non assorties et enfilées temporaire</v>
      </c>
    </row>
    <row r="779" spans="1:4" x14ac:dyDescent="0.25">
      <c r="A779" t="str">
        <f>T("   ZZZ_Monde")</f>
        <v xml:space="preserve">   ZZZ_Monde</v>
      </c>
      <c r="B779" t="str">
        <f>T("   ZZZ_Monde")</f>
        <v xml:space="preserve">   ZZZ_Monde</v>
      </c>
      <c r="C779">
        <v>1099900</v>
      </c>
      <c r="D779">
        <v>21880</v>
      </c>
    </row>
    <row r="780" spans="1:4" x14ac:dyDescent="0.25">
      <c r="A780" t="str">
        <f>T("   GA")</f>
        <v xml:space="preserve">   GA</v>
      </c>
      <c r="B780" t="str">
        <f>T("   Gabon")</f>
        <v xml:space="preserve">   Gabon</v>
      </c>
      <c r="C780">
        <v>100000</v>
      </c>
      <c r="D780">
        <v>180</v>
      </c>
    </row>
    <row r="781" spans="1:4" x14ac:dyDescent="0.25">
      <c r="A781" t="str">
        <f>T("   TH")</f>
        <v xml:space="preserve">   TH</v>
      </c>
      <c r="B781" t="str">
        <f>T("   Thaïlande")</f>
        <v xml:space="preserve">   Thaïlande</v>
      </c>
      <c r="C781">
        <v>999900</v>
      </c>
      <c r="D781">
        <v>21700</v>
      </c>
    </row>
    <row r="782" spans="1:4" x14ac:dyDescent="0.25">
      <c r="A782" t="str">
        <f>T("720429")</f>
        <v>720429</v>
      </c>
      <c r="B782"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783" spans="1:4" x14ac:dyDescent="0.25">
      <c r="A783" t="str">
        <f>T("   ZZZ_Monde")</f>
        <v xml:space="preserve">   ZZZ_Monde</v>
      </c>
      <c r="B783" t="str">
        <f>T("   ZZZ_Monde")</f>
        <v xml:space="preserve">   ZZZ_Monde</v>
      </c>
      <c r="C783">
        <v>870066100</v>
      </c>
      <c r="D783">
        <v>27385592</v>
      </c>
    </row>
    <row r="784" spans="1:4" x14ac:dyDescent="0.25">
      <c r="A784" t="str">
        <f>T("   CN")</f>
        <v xml:space="preserve">   CN</v>
      </c>
      <c r="B784" t="str">
        <f>T("   Chine")</f>
        <v xml:space="preserve">   Chine</v>
      </c>
      <c r="C784">
        <v>205750000</v>
      </c>
      <c r="D784">
        <v>4475000</v>
      </c>
    </row>
    <row r="785" spans="1:4" x14ac:dyDescent="0.25">
      <c r="A785" t="str">
        <f>T("   ES")</f>
        <v xml:space="preserve">   ES</v>
      </c>
      <c r="B785" t="str">
        <f>T("   Espagne")</f>
        <v xml:space="preserve">   Espagne</v>
      </c>
      <c r="C785">
        <v>750000</v>
      </c>
      <c r="D785">
        <v>15000</v>
      </c>
    </row>
    <row r="786" spans="1:4" x14ac:dyDescent="0.25">
      <c r="A786" t="str">
        <f>T("   GH")</f>
        <v xml:space="preserve">   GH</v>
      </c>
      <c r="B786" t="str">
        <f>T("   Ghana")</f>
        <v xml:space="preserve">   Ghana</v>
      </c>
      <c r="C786">
        <v>2000000</v>
      </c>
      <c r="D786">
        <v>40000</v>
      </c>
    </row>
    <row r="787" spans="1:4" x14ac:dyDescent="0.25">
      <c r="A787" t="str">
        <f>T("   IN")</f>
        <v xml:space="preserve">   IN</v>
      </c>
      <c r="B787" t="str">
        <f>T("   Inde")</f>
        <v xml:space="preserve">   Inde</v>
      </c>
      <c r="C787">
        <v>451066100</v>
      </c>
      <c r="D787">
        <v>18645592</v>
      </c>
    </row>
    <row r="788" spans="1:4" x14ac:dyDescent="0.25">
      <c r="A788" t="str">
        <f>T("   VN")</f>
        <v xml:space="preserve">   VN</v>
      </c>
      <c r="B788" t="str">
        <f>T("   Vietnam")</f>
        <v xml:space="preserve">   Vietnam</v>
      </c>
      <c r="C788">
        <v>210500000</v>
      </c>
      <c r="D788">
        <v>4210000</v>
      </c>
    </row>
    <row r="789" spans="1:4" x14ac:dyDescent="0.25">
      <c r="A789" t="str">
        <f>T("720430")</f>
        <v>720430</v>
      </c>
      <c r="B789" t="str">
        <f>T("DÉCHETS ET DÉBRIS DE FER OU D'ACIER ÉTAMÉS [FERRAILLES] (AUTRES QUE RADIOACTIFS ET DÉCHETS ET DÉBRIS DE PILES, DE BATTERIES DE PILES ET D'ACCUMULATEURS ÉLECTRIQUES)")</f>
        <v>DÉCHETS ET DÉBRIS DE FER OU D'ACIER ÉTAMÉS [FERRAILLES] (AUTRES QUE RADIOACTIFS ET DÉCHETS ET DÉBRIS DE PILES, DE BATTERIES DE PILES ET D'ACCUMULATEURS ÉLECTRIQUES)</v>
      </c>
    </row>
    <row r="790" spans="1:4" x14ac:dyDescent="0.25">
      <c r="A790" t="str">
        <f>T("   ZZZ_Monde")</f>
        <v xml:space="preserve">   ZZZ_Monde</v>
      </c>
      <c r="B790" t="str">
        <f>T("   ZZZ_Monde")</f>
        <v xml:space="preserve">   ZZZ_Monde</v>
      </c>
      <c r="C790">
        <v>396287500</v>
      </c>
      <c r="D790">
        <v>11347082</v>
      </c>
    </row>
    <row r="791" spans="1:4" x14ac:dyDescent="0.25">
      <c r="A791" t="str">
        <f>T("   AE")</f>
        <v xml:space="preserve">   AE</v>
      </c>
      <c r="B791" t="str">
        <f>T("   Emirats Arabes Unis")</f>
        <v xml:space="preserve">   Emirats Arabes Unis</v>
      </c>
      <c r="C791">
        <v>500000</v>
      </c>
      <c r="D791">
        <v>10000</v>
      </c>
    </row>
    <row r="792" spans="1:4" x14ac:dyDescent="0.25">
      <c r="A792" t="str">
        <f>T("   CN")</f>
        <v xml:space="preserve">   CN</v>
      </c>
      <c r="B792" t="str">
        <f>T("   Chine")</f>
        <v xml:space="preserve">   Chine</v>
      </c>
      <c r="C792">
        <v>16687500</v>
      </c>
      <c r="D792">
        <v>447750</v>
      </c>
    </row>
    <row r="793" spans="1:4" x14ac:dyDescent="0.25">
      <c r="A793" t="str">
        <f>T("   FR")</f>
        <v xml:space="preserve">   FR</v>
      </c>
      <c r="B793" t="str">
        <f>T("   France")</f>
        <v xml:space="preserve">   France</v>
      </c>
      <c r="C793">
        <v>500000</v>
      </c>
      <c r="D793">
        <v>22000</v>
      </c>
    </row>
    <row r="794" spans="1:4" x14ac:dyDescent="0.25">
      <c r="A794" t="str">
        <f>T("   GH")</f>
        <v xml:space="preserve">   GH</v>
      </c>
      <c r="B794" t="str">
        <f>T("   Ghana")</f>
        <v xml:space="preserve">   Ghana</v>
      </c>
      <c r="C794">
        <v>1000000</v>
      </c>
      <c r="D794">
        <v>20000</v>
      </c>
    </row>
    <row r="795" spans="1:4" x14ac:dyDescent="0.25">
      <c r="A795" t="str">
        <f>T("   GR")</f>
        <v xml:space="preserve">   GR</v>
      </c>
      <c r="B795" t="str">
        <f>T("   Grèce")</f>
        <v xml:space="preserve">   Grèce</v>
      </c>
      <c r="C795">
        <v>750000</v>
      </c>
      <c r="D795">
        <v>15000</v>
      </c>
    </row>
    <row r="796" spans="1:4" x14ac:dyDescent="0.25">
      <c r="A796" t="str">
        <f>T("   ID")</f>
        <v xml:space="preserve">   ID</v>
      </c>
      <c r="B796" t="str">
        <f>T("   Indonésie")</f>
        <v xml:space="preserve">   Indonésie</v>
      </c>
      <c r="C796">
        <v>17500000</v>
      </c>
      <c r="D796">
        <v>350000</v>
      </c>
    </row>
    <row r="797" spans="1:4" x14ac:dyDescent="0.25">
      <c r="A797" t="str">
        <f>T("   IN")</f>
        <v xml:space="preserve">   IN</v>
      </c>
      <c r="B797" t="str">
        <f>T("   Inde")</f>
        <v xml:space="preserve">   Inde</v>
      </c>
      <c r="C797">
        <v>147600000</v>
      </c>
      <c r="D797">
        <v>6247332</v>
      </c>
    </row>
    <row r="798" spans="1:4" x14ac:dyDescent="0.25">
      <c r="A798" t="str">
        <f>T("   VN")</f>
        <v xml:space="preserve">   VN</v>
      </c>
      <c r="B798" t="str">
        <f>T("   Vietnam")</f>
        <v xml:space="preserve">   Vietnam</v>
      </c>
      <c r="C798">
        <v>211750000</v>
      </c>
      <c r="D798">
        <v>4235000</v>
      </c>
    </row>
    <row r="799" spans="1:4" x14ac:dyDescent="0.25">
      <c r="A799" t="str">
        <f>T("720449")</f>
        <v>720449</v>
      </c>
      <c r="B799"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00" spans="1:4" x14ac:dyDescent="0.25">
      <c r="A800" t="str">
        <f>T("   ZZZ_Monde")</f>
        <v xml:space="preserve">   ZZZ_Monde</v>
      </c>
      <c r="B800" t="str">
        <f>T("   ZZZ_Monde")</f>
        <v xml:space="preserve">   ZZZ_Monde</v>
      </c>
      <c r="C800">
        <v>2811401500</v>
      </c>
      <c r="D800">
        <v>60762410</v>
      </c>
    </row>
    <row r="801" spans="1:4" x14ac:dyDescent="0.25">
      <c r="A801" t="str">
        <f>T("   AE")</f>
        <v xml:space="preserve">   AE</v>
      </c>
      <c r="B801" t="str">
        <f>T("   Emirats Arabes Unis")</f>
        <v xml:space="preserve">   Emirats Arabes Unis</v>
      </c>
      <c r="C801">
        <v>10950000</v>
      </c>
      <c r="D801">
        <v>219000</v>
      </c>
    </row>
    <row r="802" spans="1:4" x14ac:dyDescent="0.25">
      <c r="A802" t="str">
        <f>T("   BD")</f>
        <v xml:space="preserve">   BD</v>
      </c>
      <c r="B802" t="str">
        <f>T("   Bangladesh")</f>
        <v xml:space="preserve">   Bangladesh</v>
      </c>
      <c r="C802">
        <v>10500000</v>
      </c>
      <c r="D802">
        <v>210000</v>
      </c>
    </row>
    <row r="803" spans="1:4" x14ac:dyDescent="0.25">
      <c r="A803" t="str">
        <f>T("   BE")</f>
        <v xml:space="preserve">   BE</v>
      </c>
      <c r="B803" t="str">
        <f>T("   Belgique")</f>
        <v xml:space="preserve">   Belgique</v>
      </c>
      <c r="C803">
        <v>3000000</v>
      </c>
      <c r="D803">
        <v>60000</v>
      </c>
    </row>
    <row r="804" spans="1:4" x14ac:dyDescent="0.25">
      <c r="A804" t="str">
        <f>T("   CH")</f>
        <v xml:space="preserve">   CH</v>
      </c>
      <c r="B804" t="str">
        <f>T("   Suisse")</f>
        <v xml:space="preserve">   Suisse</v>
      </c>
      <c r="C804">
        <v>10750000</v>
      </c>
      <c r="D804">
        <v>215000</v>
      </c>
    </row>
    <row r="805" spans="1:4" x14ac:dyDescent="0.25">
      <c r="A805" t="str">
        <f>T("   CN")</f>
        <v xml:space="preserve">   CN</v>
      </c>
      <c r="B805" t="str">
        <f>T("   Chine")</f>
        <v xml:space="preserve">   Chine</v>
      </c>
      <c r="C805">
        <v>1872044500</v>
      </c>
      <c r="D805">
        <v>37767470</v>
      </c>
    </row>
    <row r="806" spans="1:4" x14ac:dyDescent="0.25">
      <c r="A806" t="str">
        <f>T("   ES")</f>
        <v xml:space="preserve">   ES</v>
      </c>
      <c r="B806" t="str">
        <f>T("   Espagne")</f>
        <v xml:space="preserve">   Espagne</v>
      </c>
      <c r="C806">
        <v>20250000</v>
      </c>
      <c r="D806">
        <v>405000</v>
      </c>
    </row>
    <row r="807" spans="1:4" x14ac:dyDescent="0.25">
      <c r="A807" t="str">
        <f>T("   GH")</f>
        <v xml:space="preserve">   GH</v>
      </c>
      <c r="B807" t="str">
        <f>T("   Ghana")</f>
        <v xml:space="preserve">   Ghana</v>
      </c>
      <c r="C807">
        <v>1500000</v>
      </c>
      <c r="D807">
        <v>30000</v>
      </c>
    </row>
    <row r="808" spans="1:4" x14ac:dyDescent="0.25">
      <c r="A808" t="str">
        <f>T("   GR")</f>
        <v xml:space="preserve">   GR</v>
      </c>
      <c r="B808" t="str">
        <f>T("   Grèce")</f>
        <v xml:space="preserve">   Grèce</v>
      </c>
      <c r="C808">
        <v>2000000</v>
      </c>
      <c r="D808">
        <v>40000</v>
      </c>
    </row>
    <row r="809" spans="1:4" x14ac:dyDescent="0.25">
      <c r="A809" t="str">
        <f>T("   ID")</f>
        <v xml:space="preserve">   ID</v>
      </c>
      <c r="B809" t="str">
        <f>T("   Indonésie")</f>
        <v xml:space="preserve">   Indonésie</v>
      </c>
      <c r="C809">
        <v>101250000</v>
      </c>
      <c r="D809">
        <v>2255000</v>
      </c>
    </row>
    <row r="810" spans="1:4" x14ac:dyDescent="0.25">
      <c r="A810" t="str">
        <f>T("   IN")</f>
        <v xml:space="preserve">   IN</v>
      </c>
      <c r="B810" t="str">
        <f>T("   Inde")</f>
        <v xml:space="preserve">   Inde</v>
      </c>
      <c r="C810">
        <v>611147000</v>
      </c>
      <c r="D810">
        <v>15762940</v>
      </c>
    </row>
    <row r="811" spans="1:4" x14ac:dyDescent="0.25">
      <c r="A811" t="str">
        <f>T("   IT")</f>
        <v xml:space="preserve">   IT</v>
      </c>
      <c r="B811" t="str">
        <f>T("   Italie")</f>
        <v xml:space="preserve">   Italie</v>
      </c>
      <c r="C811">
        <v>25500000</v>
      </c>
      <c r="D811">
        <v>510000</v>
      </c>
    </row>
    <row r="812" spans="1:4" x14ac:dyDescent="0.25">
      <c r="A812" t="str">
        <f>T("   KR")</f>
        <v xml:space="preserve">   KR</v>
      </c>
      <c r="B812" t="str">
        <f>T("   Corée, République de")</f>
        <v xml:space="preserve">   Corée, République de</v>
      </c>
      <c r="C812">
        <v>25250000</v>
      </c>
      <c r="D812">
        <v>535000</v>
      </c>
    </row>
    <row r="813" spans="1:4" x14ac:dyDescent="0.25">
      <c r="A813" t="str">
        <f>T("   MY")</f>
        <v xml:space="preserve">   MY</v>
      </c>
      <c r="B813" t="str">
        <f>T("   Malaisie")</f>
        <v xml:space="preserve">   Malaisie</v>
      </c>
      <c r="C813">
        <v>27500000</v>
      </c>
      <c r="D813">
        <v>900000</v>
      </c>
    </row>
    <row r="814" spans="1:4" x14ac:dyDescent="0.25">
      <c r="A814" t="str">
        <f>T("   NG")</f>
        <v xml:space="preserve">   NG</v>
      </c>
      <c r="B814" t="str">
        <f>T("   Nigéria")</f>
        <v xml:space="preserve">   Nigéria</v>
      </c>
      <c r="C814">
        <v>1000000</v>
      </c>
      <c r="D814">
        <v>20000</v>
      </c>
    </row>
    <row r="815" spans="1:4" x14ac:dyDescent="0.25">
      <c r="A815" t="str">
        <f>T("   NL")</f>
        <v xml:space="preserve">   NL</v>
      </c>
      <c r="B815" t="str">
        <f>T("   Pays-bas")</f>
        <v xml:space="preserve">   Pays-bas</v>
      </c>
      <c r="C815">
        <v>4750000</v>
      </c>
      <c r="D815">
        <v>95000</v>
      </c>
    </row>
    <row r="816" spans="1:4" x14ac:dyDescent="0.25">
      <c r="A816" t="str">
        <f>T("   PK")</f>
        <v xml:space="preserve">   PK</v>
      </c>
      <c r="B816" t="str">
        <f>T("   Pakistan")</f>
        <v xml:space="preserve">   Pakistan</v>
      </c>
      <c r="C816">
        <v>3500000</v>
      </c>
      <c r="D816">
        <v>70000</v>
      </c>
    </row>
    <row r="817" spans="1:4" x14ac:dyDescent="0.25">
      <c r="A817" t="str">
        <f>T("   SY")</f>
        <v xml:space="preserve">   SY</v>
      </c>
      <c r="B817" t="str">
        <f>T("   Syrienne, République arabe")</f>
        <v xml:space="preserve">   Syrienne, République arabe</v>
      </c>
      <c r="C817">
        <v>2510000</v>
      </c>
      <c r="D817">
        <v>48000</v>
      </c>
    </row>
    <row r="818" spans="1:4" x14ac:dyDescent="0.25">
      <c r="A818" t="str">
        <f>T("   TH")</f>
        <v xml:space="preserve">   TH</v>
      </c>
      <c r="B818" t="str">
        <f>T("   Thaïlande")</f>
        <v xml:space="preserve">   Thaïlande</v>
      </c>
      <c r="C818">
        <v>21500000</v>
      </c>
      <c r="D818">
        <v>430000</v>
      </c>
    </row>
    <row r="819" spans="1:4" x14ac:dyDescent="0.25">
      <c r="A819" t="str">
        <f>T("   VN")</f>
        <v xml:space="preserve">   VN</v>
      </c>
      <c r="B819" t="str">
        <f>T("   Vietnam")</f>
        <v xml:space="preserve">   Vietnam</v>
      </c>
      <c r="C819">
        <v>56500000</v>
      </c>
      <c r="D819">
        <v>1190000</v>
      </c>
    </row>
    <row r="820" spans="1:4" x14ac:dyDescent="0.25">
      <c r="A820" t="str">
        <f>T("720839")</f>
        <v>720839</v>
      </c>
      <c r="B820"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821" spans="1:4" x14ac:dyDescent="0.25">
      <c r="A821" t="str">
        <f>T("   ZZZ_Monde")</f>
        <v xml:space="preserve">   ZZZ_Monde</v>
      </c>
      <c r="B821" t="str">
        <f>T("   ZZZ_Monde")</f>
        <v xml:space="preserve">   ZZZ_Monde</v>
      </c>
      <c r="C821">
        <v>591101400</v>
      </c>
      <c r="D821">
        <v>1368000</v>
      </c>
    </row>
    <row r="822" spans="1:4" x14ac:dyDescent="0.25">
      <c r="A822" t="str">
        <f>T("   BF")</f>
        <v xml:space="preserve">   BF</v>
      </c>
      <c r="B822" t="str">
        <f>T("   Burkina Faso")</f>
        <v xml:space="preserve">   Burkina Faso</v>
      </c>
      <c r="C822">
        <v>129500000</v>
      </c>
      <c r="D822">
        <v>350000</v>
      </c>
    </row>
    <row r="823" spans="1:4" x14ac:dyDescent="0.25">
      <c r="A823" t="str">
        <f>T("   TD")</f>
        <v xml:space="preserve">   TD</v>
      </c>
      <c r="B823" t="str">
        <f>T("   Tchad")</f>
        <v xml:space="preserve">   Tchad</v>
      </c>
      <c r="C823">
        <v>269460000</v>
      </c>
      <c r="D823">
        <v>468000</v>
      </c>
    </row>
    <row r="824" spans="1:4" x14ac:dyDescent="0.25">
      <c r="A824" t="str">
        <f>T("   TG")</f>
        <v xml:space="preserve">   TG</v>
      </c>
      <c r="B824" t="str">
        <f>T("   Togo")</f>
        <v xml:space="preserve">   Togo</v>
      </c>
      <c r="C824">
        <v>192141400</v>
      </c>
      <c r="D824">
        <v>550000</v>
      </c>
    </row>
    <row r="825" spans="1:4" x14ac:dyDescent="0.25">
      <c r="A825" t="str">
        <f>T("720851")</f>
        <v>720851</v>
      </c>
      <c r="B825" t="str">
        <f>T("PRODUITS LAMINÉS PLATS, EN FER OU EN ACIERS NON-ALLIÉS, D'UNE LARGEUR &gt;= 600 MM, NON-ENROULÉS, SIMPL. LAMINÉS À CHAUD, NON-PLAQUÉS NI REVÊTUS, ÉPAISSEUR &gt; 10 MM (SANS MOTIFS EN RELIEF)")</f>
        <v>PRODUITS LAMINÉS PLATS, EN FER OU EN ACIERS NON-ALLIÉS, D'UNE LARGEUR &gt;= 600 MM, NON-ENROULÉS, SIMPL. LAMINÉS À CHAUD, NON-PLAQUÉS NI REVÊTUS, ÉPAISSEUR &gt; 10 MM (SANS MOTIFS EN RELIEF)</v>
      </c>
    </row>
    <row r="826" spans="1:4" x14ac:dyDescent="0.25">
      <c r="A826" t="str">
        <f>T("   ZZZ_Monde")</f>
        <v xml:space="preserve">   ZZZ_Monde</v>
      </c>
      <c r="B826" t="str">
        <f>T("   ZZZ_Monde")</f>
        <v xml:space="preserve">   ZZZ_Monde</v>
      </c>
      <c r="C826">
        <v>10994803</v>
      </c>
      <c r="D826">
        <v>40630</v>
      </c>
    </row>
    <row r="827" spans="1:4" x14ac:dyDescent="0.25">
      <c r="A827" t="str">
        <f>T("   BF")</f>
        <v xml:space="preserve">   BF</v>
      </c>
      <c r="B827" t="str">
        <f>T("   Burkina Faso")</f>
        <v xml:space="preserve">   Burkina Faso</v>
      </c>
      <c r="C827">
        <v>10994803</v>
      </c>
      <c r="D827">
        <v>40630</v>
      </c>
    </row>
    <row r="828" spans="1:4" x14ac:dyDescent="0.25">
      <c r="A828" t="str">
        <f>T("720890")</f>
        <v>720890</v>
      </c>
      <c r="B828"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829" spans="1:4" x14ac:dyDescent="0.25">
      <c r="A829" t="str">
        <f>T("   ZZZ_Monde")</f>
        <v xml:space="preserve">   ZZZ_Monde</v>
      </c>
      <c r="B829" t="str">
        <f>T("   ZZZ_Monde")</f>
        <v xml:space="preserve">   ZZZ_Monde</v>
      </c>
      <c r="C829">
        <v>2773813</v>
      </c>
      <c r="D829">
        <v>875</v>
      </c>
    </row>
    <row r="830" spans="1:4" x14ac:dyDescent="0.25">
      <c r="A830" t="str">
        <f>T("   TG")</f>
        <v xml:space="preserve">   TG</v>
      </c>
      <c r="B830" t="str">
        <f>T("   Togo")</f>
        <v xml:space="preserve">   Togo</v>
      </c>
      <c r="C830">
        <v>2773813</v>
      </c>
      <c r="D830">
        <v>875</v>
      </c>
    </row>
    <row r="831" spans="1:4" x14ac:dyDescent="0.25">
      <c r="A831" t="str">
        <f>T("720916")</f>
        <v>720916</v>
      </c>
      <c r="B831" t="str">
        <f>T("PRODUITS LAMINÉS PLATS, EN FER OU EN ACIERS NON-ALLIÉS, D'UNE LARGEUR &gt;= 600 MM, NON-PLAQUÉS NI REVÊTUS, ENROULÉS, SIMPL. LAMINÉS À FROID, D'UNE ÉPAISSEUR &gt; 1 MM MAIS &lt; 3 MM")</f>
        <v>PRODUITS LAMINÉS PLATS, EN FER OU EN ACIERS NON-ALLIÉS, D'UNE LARGEUR &gt;= 600 MM, NON-PLAQUÉS NI REVÊTUS, ENROULÉS, SIMPL. LAMINÉS À FROID, D'UNE ÉPAISSEUR &gt; 1 MM MAIS &lt; 3 MM</v>
      </c>
    </row>
    <row r="832" spans="1:4" x14ac:dyDescent="0.25">
      <c r="A832" t="str">
        <f>T("   ZZZ_Monde")</f>
        <v xml:space="preserve">   ZZZ_Monde</v>
      </c>
      <c r="B832" t="str">
        <f>T("   ZZZ_Monde")</f>
        <v xml:space="preserve">   ZZZ_Monde</v>
      </c>
      <c r="C832">
        <v>105526720</v>
      </c>
      <c r="D832">
        <v>197012</v>
      </c>
    </row>
    <row r="833" spans="1:4" x14ac:dyDescent="0.25">
      <c r="A833" t="str">
        <f>T("   TD")</f>
        <v xml:space="preserve">   TD</v>
      </c>
      <c r="B833" t="str">
        <f>T("   Tchad")</f>
        <v xml:space="preserve">   Tchad</v>
      </c>
      <c r="C833">
        <v>105526720</v>
      </c>
      <c r="D833">
        <v>197012</v>
      </c>
    </row>
    <row r="834" spans="1:4" x14ac:dyDescent="0.25">
      <c r="A834" t="str">
        <f>T("720917")</f>
        <v>720917</v>
      </c>
      <c r="B834"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35" spans="1:4" x14ac:dyDescent="0.25">
      <c r="A835" t="str">
        <f>T("   ZZZ_Monde")</f>
        <v xml:space="preserve">   ZZZ_Monde</v>
      </c>
      <c r="B835" t="str">
        <f>T("   ZZZ_Monde")</f>
        <v xml:space="preserve">   ZZZ_Monde</v>
      </c>
      <c r="C835">
        <v>89473280</v>
      </c>
      <c r="D835">
        <v>142988</v>
      </c>
    </row>
    <row r="836" spans="1:4" x14ac:dyDescent="0.25">
      <c r="A836" t="str">
        <f>T("   TD")</f>
        <v xml:space="preserve">   TD</v>
      </c>
      <c r="B836" t="str">
        <f>T("   Tchad")</f>
        <v xml:space="preserve">   Tchad</v>
      </c>
      <c r="C836">
        <v>89473280</v>
      </c>
      <c r="D836">
        <v>142988</v>
      </c>
    </row>
    <row r="837" spans="1:4" x14ac:dyDescent="0.25">
      <c r="A837" t="str">
        <f>T("720990")</f>
        <v>720990</v>
      </c>
      <c r="B837"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38" spans="1:4" x14ac:dyDescent="0.25">
      <c r="A838" t="str">
        <f>T("   ZZZ_Monde")</f>
        <v xml:space="preserve">   ZZZ_Monde</v>
      </c>
      <c r="B838" t="str">
        <f>T("   ZZZ_Monde")</f>
        <v xml:space="preserve">   ZZZ_Monde</v>
      </c>
      <c r="C838">
        <v>174900000</v>
      </c>
      <c r="D838">
        <v>321665</v>
      </c>
    </row>
    <row r="839" spans="1:4" x14ac:dyDescent="0.25">
      <c r="A839" t="str">
        <f>T("   NG")</f>
        <v xml:space="preserve">   NG</v>
      </c>
      <c r="B839" t="str">
        <f>T("   Nigéria")</f>
        <v xml:space="preserve">   Nigéria</v>
      </c>
      <c r="C839">
        <v>49500000</v>
      </c>
      <c r="D839">
        <v>93665</v>
      </c>
    </row>
    <row r="840" spans="1:4" x14ac:dyDescent="0.25">
      <c r="A840" t="str">
        <f>T("   TD")</f>
        <v xml:space="preserve">   TD</v>
      </c>
      <c r="B840" t="str">
        <f>T("   Tchad")</f>
        <v xml:space="preserve">   Tchad</v>
      </c>
      <c r="C840">
        <v>125400000</v>
      </c>
      <c r="D840">
        <v>228000</v>
      </c>
    </row>
    <row r="841" spans="1:4" x14ac:dyDescent="0.25">
      <c r="A841" t="str">
        <f>T("721041")</f>
        <v>721041</v>
      </c>
      <c r="B841"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42" spans="1:4" x14ac:dyDescent="0.25">
      <c r="A842" t="str">
        <f>T("   ZZZ_Monde")</f>
        <v xml:space="preserve">   ZZZ_Monde</v>
      </c>
      <c r="B842" t="str">
        <f>T("   ZZZ_Monde")</f>
        <v xml:space="preserve">   ZZZ_Monde</v>
      </c>
      <c r="C842">
        <v>9771800</v>
      </c>
      <c r="D842">
        <v>19135</v>
      </c>
    </row>
    <row r="843" spans="1:4" x14ac:dyDescent="0.25">
      <c r="A843" t="str">
        <f>T("   BF")</f>
        <v xml:space="preserve">   BF</v>
      </c>
      <c r="B843" t="str">
        <f>T("   Burkina Faso")</f>
        <v xml:space="preserve">   Burkina Faso</v>
      </c>
      <c r="C843">
        <v>6960000</v>
      </c>
      <c r="D843">
        <v>15000</v>
      </c>
    </row>
    <row r="844" spans="1:4" x14ac:dyDescent="0.25">
      <c r="A844" t="str">
        <f>T("   TD")</f>
        <v xml:space="preserve">   TD</v>
      </c>
      <c r="B844" t="str">
        <f>T("   Tchad")</f>
        <v xml:space="preserve">   Tchad</v>
      </c>
      <c r="C844">
        <v>2811800</v>
      </c>
      <c r="D844">
        <v>4135</v>
      </c>
    </row>
    <row r="845" spans="1:4" x14ac:dyDescent="0.25">
      <c r="A845" t="str">
        <f>T("721049")</f>
        <v>721049</v>
      </c>
      <c r="B845"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46" spans="1:4" x14ac:dyDescent="0.25">
      <c r="A846" t="str">
        <f>T("   ZZZ_Monde")</f>
        <v xml:space="preserve">   ZZZ_Monde</v>
      </c>
      <c r="B846" t="str">
        <f>T("   ZZZ_Monde")</f>
        <v xml:space="preserve">   ZZZ_Monde</v>
      </c>
      <c r="C846">
        <v>34227230</v>
      </c>
      <c r="D846">
        <v>62000</v>
      </c>
    </row>
    <row r="847" spans="1:4" x14ac:dyDescent="0.25">
      <c r="A847" t="str">
        <f>T("   BF")</f>
        <v xml:space="preserve">   BF</v>
      </c>
      <c r="B847" t="str">
        <f>T("   Burkina Faso")</f>
        <v xml:space="preserve">   Burkina Faso</v>
      </c>
      <c r="C847">
        <v>11600000</v>
      </c>
      <c r="D847">
        <v>25000</v>
      </c>
    </row>
    <row r="848" spans="1:4" x14ac:dyDescent="0.25">
      <c r="A848" t="str">
        <f>T("   TD")</f>
        <v xml:space="preserve">   TD</v>
      </c>
      <c r="B848" t="str">
        <f>T("   Tchad")</f>
        <v xml:space="preserve">   Tchad</v>
      </c>
      <c r="C848">
        <v>22627230</v>
      </c>
      <c r="D848">
        <v>37000</v>
      </c>
    </row>
    <row r="849" spans="1:4" x14ac:dyDescent="0.25">
      <c r="A849" t="str">
        <f>T("721391")</f>
        <v>721391</v>
      </c>
      <c r="B849"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50" spans="1:4" x14ac:dyDescent="0.25">
      <c r="A850" t="str">
        <f>T("   ZZZ_Monde")</f>
        <v xml:space="preserve">   ZZZ_Monde</v>
      </c>
      <c r="B850" t="str">
        <f>T("   ZZZ_Monde")</f>
        <v xml:space="preserve">   ZZZ_Monde</v>
      </c>
      <c r="C850">
        <v>7304807482</v>
      </c>
      <c r="D850">
        <v>20086738</v>
      </c>
    </row>
    <row r="851" spans="1:4" x14ac:dyDescent="0.25">
      <c r="A851" t="str">
        <f>T("   BF")</f>
        <v xml:space="preserve">   BF</v>
      </c>
      <c r="B851" t="str">
        <f>T("   Burkina Faso")</f>
        <v xml:space="preserve">   Burkina Faso</v>
      </c>
      <c r="C851">
        <v>127199803</v>
      </c>
      <c r="D851">
        <v>350304</v>
      </c>
    </row>
    <row r="852" spans="1:4" x14ac:dyDescent="0.25">
      <c r="A852" t="str">
        <f>T("   CN")</f>
        <v xml:space="preserve">   CN</v>
      </c>
      <c r="B852" t="str">
        <f>T("   Chine")</f>
        <v xml:space="preserve">   Chine</v>
      </c>
      <c r="C852">
        <v>95805662</v>
      </c>
      <c r="D852">
        <v>147524</v>
      </c>
    </row>
    <row r="853" spans="1:4" x14ac:dyDescent="0.25">
      <c r="A853" t="str">
        <f>T("   NE")</f>
        <v xml:space="preserve">   NE</v>
      </c>
      <c r="B853" t="str">
        <f>T("   Niger")</f>
        <v xml:space="preserve">   Niger</v>
      </c>
      <c r="C853">
        <v>59151579</v>
      </c>
      <c r="D853">
        <v>180000</v>
      </c>
    </row>
    <row r="854" spans="1:4" x14ac:dyDescent="0.25">
      <c r="A854" t="str">
        <f>T("   NG")</f>
        <v xml:space="preserve">   NG</v>
      </c>
      <c r="B854" t="str">
        <f>T("   Nigéria")</f>
        <v xml:space="preserve">   Nigéria</v>
      </c>
      <c r="C854">
        <v>341340808</v>
      </c>
      <c r="D854">
        <v>905000</v>
      </c>
    </row>
    <row r="855" spans="1:4" x14ac:dyDescent="0.25">
      <c r="A855" t="str">
        <f>T("   TD")</f>
        <v xml:space="preserve">   TD</v>
      </c>
      <c r="B855" t="str">
        <f>T("   Tchad")</f>
        <v xml:space="preserve">   Tchad</v>
      </c>
      <c r="C855">
        <v>6545892418</v>
      </c>
      <c r="D855">
        <v>18103250</v>
      </c>
    </row>
    <row r="856" spans="1:4" x14ac:dyDescent="0.25">
      <c r="A856" t="str">
        <f>T("   TG")</f>
        <v xml:space="preserve">   TG</v>
      </c>
      <c r="B856" t="str">
        <f>T("   Togo")</f>
        <v xml:space="preserve">   Togo</v>
      </c>
      <c r="C856">
        <v>135417212</v>
      </c>
      <c r="D856">
        <v>400660</v>
      </c>
    </row>
    <row r="857" spans="1:4" x14ac:dyDescent="0.25">
      <c r="A857" t="str">
        <f>T("721399")</f>
        <v>721399</v>
      </c>
      <c r="B857"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858" spans="1:4" x14ac:dyDescent="0.25">
      <c r="A858" t="str">
        <f>T("   ZZZ_Monde")</f>
        <v xml:space="preserve">   ZZZ_Monde</v>
      </c>
      <c r="B858" t="str">
        <f>T("   ZZZ_Monde")</f>
        <v xml:space="preserve">   ZZZ_Monde</v>
      </c>
      <c r="C858">
        <v>1475159848</v>
      </c>
      <c r="D858">
        <v>3622000</v>
      </c>
    </row>
    <row r="859" spans="1:4" x14ac:dyDescent="0.25">
      <c r="A859" t="str">
        <f>T("   TD")</f>
        <v xml:space="preserve">   TD</v>
      </c>
      <c r="B859" t="str">
        <f>T("   Tchad")</f>
        <v xml:space="preserve">   Tchad</v>
      </c>
      <c r="C859">
        <v>1475159848</v>
      </c>
      <c r="D859">
        <v>3622000</v>
      </c>
    </row>
    <row r="860" spans="1:4" x14ac:dyDescent="0.25">
      <c r="A860" t="str">
        <f>T("721420")</f>
        <v>721420</v>
      </c>
      <c r="B860"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61" spans="1:4" x14ac:dyDescent="0.25">
      <c r="A861" t="str">
        <f>T("   ZZZ_Monde")</f>
        <v xml:space="preserve">   ZZZ_Monde</v>
      </c>
      <c r="B861" t="str">
        <f>T("   ZZZ_Monde")</f>
        <v xml:space="preserve">   ZZZ_Monde</v>
      </c>
      <c r="C861">
        <v>52879215</v>
      </c>
      <c r="D861">
        <v>74327</v>
      </c>
    </row>
    <row r="862" spans="1:4" x14ac:dyDescent="0.25">
      <c r="A862" t="str">
        <f>T("   CN")</f>
        <v xml:space="preserve">   CN</v>
      </c>
      <c r="B862" t="str">
        <f>T("   Chine")</f>
        <v xml:space="preserve">   Chine</v>
      </c>
      <c r="C862">
        <v>52879215</v>
      </c>
      <c r="D862">
        <v>74327</v>
      </c>
    </row>
    <row r="863" spans="1:4" x14ac:dyDescent="0.25">
      <c r="A863" t="str">
        <f>T("721499")</f>
        <v>721499</v>
      </c>
      <c r="B863"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864" spans="1:4" x14ac:dyDescent="0.25">
      <c r="A864" t="str">
        <f>T("   ZZZ_Monde")</f>
        <v xml:space="preserve">   ZZZ_Monde</v>
      </c>
      <c r="B864" t="str">
        <f>T("   ZZZ_Monde")</f>
        <v xml:space="preserve">   ZZZ_Monde</v>
      </c>
      <c r="C864">
        <v>3450000</v>
      </c>
      <c r="D864">
        <v>23000</v>
      </c>
    </row>
    <row r="865" spans="1:4" x14ac:dyDescent="0.25">
      <c r="A865" t="str">
        <f>T("   IN")</f>
        <v xml:space="preserve">   IN</v>
      </c>
      <c r="B865" t="str">
        <f>T("   Inde")</f>
        <v xml:space="preserve">   Inde</v>
      </c>
      <c r="C865">
        <v>3450000</v>
      </c>
      <c r="D865">
        <v>23000</v>
      </c>
    </row>
    <row r="866" spans="1:4" x14ac:dyDescent="0.25">
      <c r="A866" t="str">
        <f>T("721590")</f>
        <v>721590</v>
      </c>
      <c r="B866"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67" spans="1:4" x14ac:dyDescent="0.25">
      <c r="A867" t="str">
        <f>T("   ZZZ_Monde")</f>
        <v xml:space="preserve">   ZZZ_Monde</v>
      </c>
      <c r="B867" t="str">
        <f>T("   ZZZ_Monde")</f>
        <v xml:space="preserve">   ZZZ_Monde</v>
      </c>
      <c r="C867">
        <v>11753952530</v>
      </c>
      <c r="D867">
        <v>31135000</v>
      </c>
    </row>
    <row r="868" spans="1:4" x14ac:dyDescent="0.25">
      <c r="A868" t="str">
        <f>T("   GH")</f>
        <v xml:space="preserve">   GH</v>
      </c>
      <c r="B868" t="str">
        <f>T("   Ghana")</f>
        <v xml:space="preserve">   Ghana</v>
      </c>
      <c r="C868">
        <v>41300000</v>
      </c>
      <c r="D868">
        <v>140000</v>
      </c>
    </row>
    <row r="869" spans="1:4" x14ac:dyDescent="0.25">
      <c r="A869" t="str">
        <f>T("   ML")</f>
        <v xml:space="preserve">   ML</v>
      </c>
      <c r="B869" t="str">
        <f>T("   Mali")</f>
        <v xml:space="preserve">   Mali</v>
      </c>
      <c r="C869">
        <v>53570000</v>
      </c>
      <c r="D869">
        <v>134000</v>
      </c>
    </row>
    <row r="870" spans="1:4" x14ac:dyDescent="0.25">
      <c r="A870" t="str">
        <f>T("   NE")</f>
        <v xml:space="preserve">   NE</v>
      </c>
      <c r="B870" t="str">
        <f>T("   Niger")</f>
        <v xml:space="preserve">   Niger</v>
      </c>
      <c r="C870">
        <v>3449210030</v>
      </c>
      <c r="D870">
        <v>12030000</v>
      </c>
    </row>
    <row r="871" spans="1:4" x14ac:dyDescent="0.25">
      <c r="A871" t="str">
        <f>T("   NG")</f>
        <v xml:space="preserve">   NG</v>
      </c>
      <c r="B871" t="str">
        <f>T("   Nigéria")</f>
        <v xml:space="preserve">   Nigéria</v>
      </c>
      <c r="C871">
        <v>169050000</v>
      </c>
      <c r="D871">
        <v>465000</v>
      </c>
    </row>
    <row r="872" spans="1:4" x14ac:dyDescent="0.25">
      <c r="A872" t="str">
        <f>T("   TD")</f>
        <v xml:space="preserve">   TD</v>
      </c>
      <c r="B872" t="str">
        <f>T("   Tchad")</f>
        <v xml:space="preserve">   Tchad</v>
      </c>
      <c r="C872">
        <v>8040822500</v>
      </c>
      <c r="D872">
        <v>18366000</v>
      </c>
    </row>
    <row r="873" spans="1:4" x14ac:dyDescent="0.25">
      <c r="A873" t="str">
        <f>T("721720")</f>
        <v>721720</v>
      </c>
      <c r="B873" t="str">
        <f>T("FILS EN FER OU EN ACIERS NON-ALLIÉS, ENROULÉS, ZINGUÉS (À L'EXCL. DU FIL MACHINE)")</f>
        <v>FILS EN FER OU EN ACIERS NON-ALLIÉS, ENROULÉS, ZINGUÉS (À L'EXCL. DU FIL MACHINE)</v>
      </c>
    </row>
    <row r="874" spans="1:4" x14ac:dyDescent="0.25">
      <c r="A874" t="str">
        <f>T("   ZZZ_Monde")</f>
        <v xml:space="preserve">   ZZZ_Monde</v>
      </c>
      <c r="B874" t="str">
        <f>T("   ZZZ_Monde")</f>
        <v xml:space="preserve">   ZZZ_Monde</v>
      </c>
      <c r="C874">
        <v>374288209</v>
      </c>
      <c r="D874">
        <v>919000</v>
      </c>
    </row>
    <row r="875" spans="1:4" x14ac:dyDescent="0.25">
      <c r="A875" t="str">
        <f>T("   TD")</f>
        <v xml:space="preserve">   TD</v>
      </c>
      <c r="B875" t="str">
        <f>T("   Tchad")</f>
        <v xml:space="preserve">   Tchad</v>
      </c>
      <c r="C875">
        <v>374288209</v>
      </c>
      <c r="D875">
        <v>919000</v>
      </c>
    </row>
    <row r="876" spans="1:4" x14ac:dyDescent="0.25">
      <c r="A876" t="str">
        <f>T("721730")</f>
        <v>721730</v>
      </c>
      <c r="B876" t="str">
        <f>T("FILS EN FER OU EN ACIERS NON-ALLIÉS, ENROULÉS, REVÊTUS DE MÉTAUX COMMUNS (À L'EXCL. DES FILS ZINGUÉS AINSI QUE DU FIL MACHINE)")</f>
        <v>FILS EN FER OU EN ACIERS NON-ALLIÉS, ENROULÉS, REVÊTUS DE MÉTAUX COMMUNS (À L'EXCL. DES FILS ZINGUÉS AINSI QUE DU FIL MACHINE)</v>
      </c>
    </row>
    <row r="877" spans="1:4" x14ac:dyDescent="0.25">
      <c r="A877" t="str">
        <f>T("   ZZZ_Monde")</f>
        <v xml:space="preserve">   ZZZ_Monde</v>
      </c>
      <c r="B877" t="str">
        <f>T("   ZZZ_Monde")</f>
        <v xml:space="preserve">   ZZZ_Monde</v>
      </c>
      <c r="C877">
        <v>25087188</v>
      </c>
      <c r="D877">
        <v>60479</v>
      </c>
    </row>
    <row r="878" spans="1:4" x14ac:dyDescent="0.25">
      <c r="A878" t="str">
        <f>T("   CN")</f>
        <v xml:space="preserve">   CN</v>
      </c>
      <c r="B878" t="str">
        <f>T("   Chine")</f>
        <v xml:space="preserve">   Chine</v>
      </c>
      <c r="C878">
        <v>25087188</v>
      </c>
      <c r="D878">
        <v>60479</v>
      </c>
    </row>
    <row r="879" spans="1:4" x14ac:dyDescent="0.25">
      <c r="A879" t="str">
        <f>T("721790")</f>
        <v>721790</v>
      </c>
      <c r="B879" t="str">
        <f>T("FILS EN FER OU EN ACIERS NON-ALLIÉS, ENROULÉS, REVÊTUS (À L'EXCL. DU FIL MACHINE AINSI QUE DES FILS REVÊTUS DE MÉTAUX COMMUNS)")</f>
        <v>FILS EN FER OU EN ACIERS NON-ALLIÉS, ENROULÉS, REVÊTUS (À L'EXCL. DU FIL MACHINE AINSI QUE DES FILS REVÊTUS DE MÉTAUX COMMUNS)</v>
      </c>
    </row>
    <row r="880" spans="1:4" x14ac:dyDescent="0.25">
      <c r="A880" t="str">
        <f>T("   ZZZ_Monde")</f>
        <v xml:space="preserve">   ZZZ_Monde</v>
      </c>
      <c r="B880" t="str">
        <f>T("   ZZZ_Monde")</f>
        <v xml:space="preserve">   ZZZ_Monde</v>
      </c>
      <c r="C880">
        <v>61630140</v>
      </c>
      <c r="D880">
        <v>124949</v>
      </c>
    </row>
    <row r="881" spans="1:4" x14ac:dyDescent="0.25">
      <c r="A881" t="str">
        <f>T("   CN")</f>
        <v xml:space="preserve">   CN</v>
      </c>
      <c r="B881" t="str">
        <f>T("   Chine")</f>
        <v xml:space="preserve">   Chine</v>
      </c>
      <c r="C881">
        <v>16210417</v>
      </c>
      <c r="D881">
        <v>35106</v>
      </c>
    </row>
    <row r="882" spans="1:4" x14ac:dyDescent="0.25">
      <c r="A882" t="str">
        <f>T("   ID")</f>
        <v xml:space="preserve">   ID</v>
      </c>
      <c r="B882" t="str">
        <f>T("   Indonésie")</f>
        <v xml:space="preserve">   Indonésie</v>
      </c>
      <c r="C882">
        <v>21629723</v>
      </c>
      <c r="D882">
        <v>46843</v>
      </c>
    </row>
    <row r="883" spans="1:4" x14ac:dyDescent="0.25">
      <c r="A883" t="str">
        <f>T("   TD")</f>
        <v xml:space="preserve">   TD</v>
      </c>
      <c r="B883" t="str">
        <f>T("   Tchad")</f>
        <v xml:space="preserve">   Tchad</v>
      </c>
      <c r="C883">
        <v>23790000</v>
      </c>
      <c r="D883">
        <v>43000</v>
      </c>
    </row>
    <row r="884" spans="1:4" x14ac:dyDescent="0.25">
      <c r="A884" t="str">
        <f>T("730429")</f>
        <v>730429</v>
      </c>
      <c r="B884" t="str">
        <f>T("Tubes et tuyaux de cuvelage ou de production sans soudure, en fer (à l'excl. de la fonte) ou en acier, des types utilisés pour l'extraction du pétrole ou du gaz")</f>
        <v>Tubes et tuyaux de cuvelage ou de production sans soudure, en fer (à l'excl. de la fonte) ou en acier, des types utilisés pour l'extraction du pétrole ou du gaz</v>
      </c>
    </row>
    <row r="885" spans="1:4" x14ac:dyDescent="0.25">
      <c r="A885" t="str">
        <f>T("   ZZZ_Monde")</f>
        <v xml:space="preserve">   ZZZ_Monde</v>
      </c>
      <c r="B885" t="str">
        <f>T("   ZZZ_Monde")</f>
        <v xml:space="preserve">   ZZZ_Monde</v>
      </c>
      <c r="C885">
        <v>1845498</v>
      </c>
      <c r="D885">
        <v>1000</v>
      </c>
    </row>
    <row r="886" spans="1:4" x14ac:dyDescent="0.25">
      <c r="A886" t="str">
        <f>T("   NG")</f>
        <v xml:space="preserve">   NG</v>
      </c>
      <c r="B886" t="str">
        <f>T("   Nigéria")</f>
        <v xml:space="preserve">   Nigéria</v>
      </c>
      <c r="C886">
        <v>1845498</v>
      </c>
      <c r="D886">
        <v>1000</v>
      </c>
    </row>
    <row r="887" spans="1:4" x14ac:dyDescent="0.25">
      <c r="A887" t="str">
        <f>T("730449")</f>
        <v>730449</v>
      </c>
      <c r="B887" t="str">
        <f>T("TUBES, TUYAUX ET PROFILÉS CREUX, SANS SOUDURE, DE SECTION CIRCULAIRE, EN ACIERS INOXYDABLES, NON-ÉTIRÉS OU LAMINÉS À FROID (AUTRES QUE LES TUBES DES TYPES UTILISÉS POUR LES OLÉODUCS OU LES GAZODUCS OU POUR L'EXTRACTION DU PÉTROLE OU DU GAZ)")</f>
        <v>TUBES, TUYAUX ET PROFILÉS CREUX, SANS SOUDURE, DE SECTION CIRCULAIRE, EN ACIERS INOXYDABLES, NON-ÉTIRÉS OU LAMINÉS À FROID (AUTRES QUE LES TUBES DES TYPES UTILISÉS POUR LES OLÉODUCS OU LES GAZODUCS OU POUR L'EXTRACTION DU PÉTROLE OU DU GAZ)</v>
      </c>
    </row>
    <row r="888" spans="1:4" x14ac:dyDescent="0.25">
      <c r="A888" t="str">
        <f>T("   ZZZ_Monde")</f>
        <v xml:space="preserve">   ZZZ_Monde</v>
      </c>
      <c r="B888" t="str">
        <f>T("   ZZZ_Monde")</f>
        <v xml:space="preserve">   ZZZ_Monde</v>
      </c>
      <c r="C888">
        <v>1777652</v>
      </c>
      <c r="D888">
        <v>4700</v>
      </c>
    </row>
    <row r="889" spans="1:4" x14ac:dyDescent="0.25">
      <c r="A889" t="str">
        <f>T("   FR")</f>
        <v xml:space="preserve">   FR</v>
      </c>
      <c r="B889" t="str">
        <f>T("   France")</f>
        <v xml:space="preserve">   France</v>
      </c>
      <c r="C889">
        <v>1777652</v>
      </c>
      <c r="D889">
        <v>4700</v>
      </c>
    </row>
    <row r="890" spans="1:4" x14ac:dyDescent="0.25">
      <c r="A890" t="str">
        <f>T("730620")</f>
        <v>730620</v>
      </c>
      <c r="B890" t="str">
        <f>T("Tubes et tuyaux de cuvelage ou de production des types utilisés pour l'extraction du pétrole ou du gaz, en produits laminés plats en fer ou en acier, diamètre extérieur &lt;= 406,4 mm")</f>
        <v>Tubes et tuyaux de cuvelage ou de production des types utilisés pour l'extraction du pétrole ou du gaz, en produits laminés plats en fer ou en acier, diamètre extérieur &lt;= 406,4 mm</v>
      </c>
    </row>
    <row r="891" spans="1:4" x14ac:dyDescent="0.25">
      <c r="A891" t="str">
        <f>T("   ZZZ_Monde")</f>
        <v xml:space="preserve">   ZZZ_Monde</v>
      </c>
      <c r="B891" t="str">
        <f>T("   ZZZ_Monde")</f>
        <v xml:space="preserve">   ZZZ_Monde</v>
      </c>
      <c r="C891">
        <v>118639125</v>
      </c>
      <c r="D891">
        <v>366122</v>
      </c>
    </row>
    <row r="892" spans="1:4" x14ac:dyDescent="0.25">
      <c r="A892" t="str">
        <f>T("   NG")</f>
        <v xml:space="preserve">   NG</v>
      </c>
      <c r="B892" t="str">
        <f>T("   Nigéria")</f>
        <v xml:space="preserve">   Nigéria</v>
      </c>
      <c r="C892">
        <v>118639125</v>
      </c>
      <c r="D892">
        <v>366122</v>
      </c>
    </row>
    <row r="893" spans="1:4" x14ac:dyDescent="0.25">
      <c r="A893" t="str">
        <f>T("730690")</f>
        <v>730690</v>
      </c>
      <c r="B893"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894" spans="1:4" x14ac:dyDescent="0.25">
      <c r="A894" t="str">
        <f>T("   ZZZ_Monde")</f>
        <v xml:space="preserve">   ZZZ_Monde</v>
      </c>
      <c r="B894" t="str">
        <f>T("   ZZZ_Monde")</f>
        <v xml:space="preserve">   ZZZ_Monde</v>
      </c>
      <c r="C894">
        <v>1023298</v>
      </c>
      <c r="D894">
        <v>552</v>
      </c>
    </row>
    <row r="895" spans="1:4" x14ac:dyDescent="0.25">
      <c r="A895" t="str">
        <f>T("   GH")</f>
        <v xml:space="preserve">   GH</v>
      </c>
      <c r="B895" t="str">
        <f>T("   Ghana")</f>
        <v xml:space="preserve">   Ghana</v>
      </c>
      <c r="C895">
        <v>1023298</v>
      </c>
      <c r="D895">
        <v>552</v>
      </c>
    </row>
    <row r="896" spans="1:4" x14ac:dyDescent="0.25">
      <c r="A896" t="str">
        <f>T("730799")</f>
        <v>730799</v>
      </c>
      <c r="B896"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897" spans="1:4" x14ac:dyDescent="0.25">
      <c r="A897" t="str">
        <f>T("   ZZZ_Monde")</f>
        <v xml:space="preserve">   ZZZ_Monde</v>
      </c>
      <c r="B897" t="str">
        <f>T("   ZZZ_Monde")</f>
        <v xml:space="preserve">   ZZZ_Monde</v>
      </c>
      <c r="C897">
        <v>369305</v>
      </c>
      <c r="D897">
        <v>200</v>
      </c>
    </row>
    <row r="898" spans="1:4" x14ac:dyDescent="0.25">
      <c r="A898" t="str">
        <f>T("   GH")</f>
        <v xml:space="preserve">   GH</v>
      </c>
      <c r="B898" t="str">
        <f>T("   Ghana")</f>
        <v xml:space="preserve">   Ghana</v>
      </c>
      <c r="C898">
        <v>369305</v>
      </c>
      <c r="D898">
        <v>200</v>
      </c>
    </row>
    <row r="899" spans="1:4" x14ac:dyDescent="0.25">
      <c r="A899" t="str">
        <f>T("730820")</f>
        <v>730820</v>
      </c>
      <c r="B899" t="str">
        <f>T("Tours et pylônes, en fer ou en acier")</f>
        <v>Tours et pylônes, en fer ou en acier</v>
      </c>
    </row>
    <row r="900" spans="1:4" x14ac:dyDescent="0.25">
      <c r="A900" t="str">
        <f>T("   ZZZ_Monde")</f>
        <v xml:space="preserve">   ZZZ_Monde</v>
      </c>
      <c r="B900" t="str">
        <f>T("   ZZZ_Monde")</f>
        <v xml:space="preserve">   ZZZ_Monde</v>
      </c>
      <c r="C900">
        <v>19216699</v>
      </c>
      <c r="D900">
        <v>110500</v>
      </c>
    </row>
    <row r="901" spans="1:4" x14ac:dyDescent="0.25">
      <c r="A901" t="str">
        <f>T("   GQ")</f>
        <v xml:space="preserve">   GQ</v>
      </c>
      <c r="B901" t="str">
        <f>T("   Guinée Equatoriale")</f>
        <v xml:space="preserve">   Guinée Equatoriale</v>
      </c>
      <c r="C901">
        <v>14625000</v>
      </c>
      <c r="D901">
        <v>110000</v>
      </c>
    </row>
    <row r="902" spans="1:4" x14ac:dyDescent="0.25">
      <c r="A902" t="str">
        <f>T("   TG")</f>
        <v xml:space="preserve">   TG</v>
      </c>
      <c r="B902" t="str">
        <f>T("   Togo")</f>
        <v xml:space="preserve">   Togo</v>
      </c>
      <c r="C902">
        <v>4591699</v>
      </c>
      <c r="D902">
        <v>500</v>
      </c>
    </row>
    <row r="903" spans="1:4" x14ac:dyDescent="0.25">
      <c r="A903" t="str">
        <f>T("730830")</f>
        <v>730830</v>
      </c>
      <c r="B903" t="str">
        <f>T("Portes, fenêtres et leurs cadres et chambranles ainsi que leurs seuils, en fer ou en acier")</f>
        <v>Portes, fenêtres et leurs cadres et chambranles ainsi que leurs seuils, en fer ou en acier</v>
      </c>
    </row>
    <row r="904" spans="1:4" x14ac:dyDescent="0.25">
      <c r="A904" t="str">
        <f>T("   ZZZ_Monde")</f>
        <v xml:space="preserve">   ZZZ_Monde</v>
      </c>
      <c r="B904" t="str">
        <f>T("   ZZZ_Monde")</f>
        <v xml:space="preserve">   ZZZ_Monde</v>
      </c>
      <c r="C904">
        <v>240000</v>
      </c>
      <c r="D904">
        <v>500</v>
      </c>
    </row>
    <row r="905" spans="1:4" x14ac:dyDescent="0.25">
      <c r="A905" t="str">
        <f>T("   TG")</f>
        <v xml:space="preserve">   TG</v>
      </c>
      <c r="B905" t="str">
        <f>T("   Togo")</f>
        <v xml:space="preserve">   Togo</v>
      </c>
      <c r="C905">
        <v>240000</v>
      </c>
      <c r="D905">
        <v>500</v>
      </c>
    </row>
    <row r="906" spans="1:4" x14ac:dyDescent="0.25">
      <c r="A906" t="str">
        <f>T("730840")</f>
        <v>730840</v>
      </c>
      <c r="B906"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907" spans="1:4" x14ac:dyDescent="0.25">
      <c r="A907" t="str">
        <f>T("   ZZZ_Monde")</f>
        <v xml:space="preserve">   ZZZ_Monde</v>
      </c>
      <c r="B907" t="str">
        <f>T("   ZZZ_Monde")</f>
        <v xml:space="preserve">   ZZZ_Monde</v>
      </c>
      <c r="C907">
        <v>38604217</v>
      </c>
      <c r="D907">
        <v>53885</v>
      </c>
    </row>
    <row r="908" spans="1:4" x14ac:dyDescent="0.25">
      <c r="A908" t="str">
        <f>T("   GA")</f>
        <v xml:space="preserve">   GA</v>
      </c>
      <c r="B908" t="str">
        <f>T("   Gabon")</f>
        <v xml:space="preserve">   Gabon</v>
      </c>
      <c r="C908">
        <v>14675000</v>
      </c>
      <c r="D908">
        <v>5718</v>
      </c>
    </row>
    <row r="909" spans="1:4" x14ac:dyDescent="0.25">
      <c r="A909" t="str">
        <f>T("   GH")</f>
        <v xml:space="preserve">   GH</v>
      </c>
      <c r="B909" t="str">
        <f>T("   Ghana")</f>
        <v xml:space="preserve">   Ghana</v>
      </c>
      <c r="C909">
        <v>1891515</v>
      </c>
      <c r="D909">
        <v>8315</v>
      </c>
    </row>
    <row r="910" spans="1:4" x14ac:dyDescent="0.25">
      <c r="A910" t="str">
        <f>T("   NE")</f>
        <v xml:space="preserve">   NE</v>
      </c>
      <c r="B910" t="str">
        <f>T("   Niger")</f>
        <v xml:space="preserve">   Niger</v>
      </c>
      <c r="C910">
        <v>22037702</v>
      </c>
      <c r="D910">
        <v>39852</v>
      </c>
    </row>
    <row r="911" spans="1:4" x14ac:dyDescent="0.25">
      <c r="A911" t="str">
        <f>T("730890")</f>
        <v>730890</v>
      </c>
      <c r="B911"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912" spans="1:4" x14ac:dyDescent="0.25">
      <c r="A912" t="str">
        <f>T("   ZZZ_Monde")</f>
        <v xml:space="preserve">   ZZZ_Monde</v>
      </c>
      <c r="B912" t="str">
        <f>T("   ZZZ_Monde")</f>
        <v xml:space="preserve">   ZZZ_Monde</v>
      </c>
      <c r="C912">
        <v>44869271</v>
      </c>
      <c r="D912">
        <v>27380</v>
      </c>
    </row>
    <row r="913" spans="1:4" x14ac:dyDescent="0.25">
      <c r="A913" t="str">
        <f>T("   GA")</f>
        <v xml:space="preserve">   GA</v>
      </c>
      <c r="B913" t="str">
        <f>T("   Gabon")</f>
        <v xml:space="preserve">   Gabon</v>
      </c>
      <c r="C913">
        <v>800000</v>
      </c>
      <c r="D913">
        <v>2000</v>
      </c>
    </row>
    <row r="914" spans="1:4" x14ac:dyDescent="0.25">
      <c r="A914" t="str">
        <f>T("   GH")</f>
        <v xml:space="preserve">   GH</v>
      </c>
      <c r="B914" t="str">
        <f>T("   Ghana")</f>
        <v xml:space="preserve">   Ghana</v>
      </c>
      <c r="C914">
        <v>41869271</v>
      </c>
      <c r="D914">
        <v>22580</v>
      </c>
    </row>
    <row r="915" spans="1:4" x14ac:dyDescent="0.25">
      <c r="A915" t="str">
        <f>T("   NE")</f>
        <v xml:space="preserve">   NE</v>
      </c>
      <c r="B915" t="str">
        <f>T("   Niger")</f>
        <v xml:space="preserve">   Niger</v>
      </c>
      <c r="C915">
        <v>2200000</v>
      </c>
      <c r="D915">
        <v>2800</v>
      </c>
    </row>
    <row r="916" spans="1:4" x14ac:dyDescent="0.25">
      <c r="A916" t="str">
        <f>T("730900")</f>
        <v>730900</v>
      </c>
      <c r="B916"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917" spans="1:4" x14ac:dyDescent="0.25">
      <c r="A917" t="str">
        <f>T("   ZZZ_Monde")</f>
        <v xml:space="preserve">   ZZZ_Monde</v>
      </c>
      <c r="B917" t="str">
        <f>T("   ZZZ_Monde")</f>
        <v xml:space="preserve">   ZZZ_Monde</v>
      </c>
      <c r="C917">
        <v>1372816</v>
      </c>
      <c r="D917">
        <v>6168</v>
      </c>
    </row>
    <row r="918" spans="1:4" x14ac:dyDescent="0.25">
      <c r="A918" t="str">
        <f>T("   GA")</f>
        <v xml:space="preserve">   GA</v>
      </c>
      <c r="B918" t="str">
        <f>T("   Gabon")</f>
        <v xml:space="preserve">   Gabon</v>
      </c>
      <c r="C918">
        <v>320000</v>
      </c>
      <c r="D918">
        <v>6000</v>
      </c>
    </row>
    <row r="919" spans="1:4" x14ac:dyDescent="0.25">
      <c r="A919" t="str">
        <f>T("   GH")</f>
        <v xml:space="preserve">   GH</v>
      </c>
      <c r="B919" t="str">
        <f>T("   Ghana")</f>
        <v xml:space="preserve">   Ghana</v>
      </c>
      <c r="C919">
        <v>1052816</v>
      </c>
      <c r="D919">
        <v>168</v>
      </c>
    </row>
    <row r="920" spans="1:4" x14ac:dyDescent="0.25">
      <c r="A920" t="str">
        <f>T("731100")</f>
        <v>731100</v>
      </c>
      <c r="B920"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921" spans="1:4" x14ac:dyDescent="0.25">
      <c r="A921" t="str">
        <f>T("   ZZZ_Monde")</f>
        <v xml:space="preserve">   ZZZ_Monde</v>
      </c>
      <c r="B921" t="str">
        <f>T("   ZZZ_Monde")</f>
        <v xml:space="preserve">   ZZZ_Monde</v>
      </c>
      <c r="C921">
        <v>4100000</v>
      </c>
      <c r="D921">
        <v>10719</v>
      </c>
    </row>
    <row r="922" spans="1:4" x14ac:dyDescent="0.25">
      <c r="A922" t="str">
        <f>T("   FR")</f>
        <v xml:space="preserve">   FR</v>
      </c>
      <c r="B922" t="str">
        <f>T("   France")</f>
        <v xml:space="preserve">   France</v>
      </c>
      <c r="C922">
        <v>4100000</v>
      </c>
      <c r="D922">
        <v>10719</v>
      </c>
    </row>
    <row r="923" spans="1:4" x14ac:dyDescent="0.25">
      <c r="A923" t="str">
        <f>T("731700")</f>
        <v>731700</v>
      </c>
      <c r="B923"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924" spans="1:4" x14ac:dyDescent="0.25">
      <c r="A924" t="str">
        <f>T("   ZZZ_Monde")</f>
        <v xml:space="preserve">   ZZZ_Monde</v>
      </c>
      <c r="B924" t="str">
        <f>T("   ZZZ_Monde")</f>
        <v xml:space="preserve">   ZZZ_Monde</v>
      </c>
      <c r="C924">
        <v>465330000</v>
      </c>
      <c r="D924">
        <v>884000</v>
      </c>
    </row>
    <row r="925" spans="1:4" x14ac:dyDescent="0.25">
      <c r="A925" t="str">
        <f>T("   NE")</f>
        <v xml:space="preserve">   NE</v>
      </c>
      <c r="B925" t="str">
        <f>T("   Niger")</f>
        <v xml:space="preserve">   Niger</v>
      </c>
      <c r="C925">
        <v>18000000</v>
      </c>
      <c r="D925">
        <v>60000</v>
      </c>
    </row>
    <row r="926" spans="1:4" x14ac:dyDescent="0.25">
      <c r="A926" t="str">
        <f>T("   TD")</f>
        <v xml:space="preserve">   TD</v>
      </c>
      <c r="B926" t="str">
        <f>T("   Tchad")</f>
        <v xml:space="preserve">   Tchad</v>
      </c>
      <c r="C926">
        <v>447330000</v>
      </c>
      <c r="D926">
        <v>824000</v>
      </c>
    </row>
    <row r="927" spans="1:4" x14ac:dyDescent="0.25">
      <c r="A927" t="str">
        <f>T("732111")</f>
        <v>732111</v>
      </c>
      <c r="B927"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928" spans="1:4" x14ac:dyDescent="0.25">
      <c r="A928" t="str">
        <f>T("   ZZZ_Monde")</f>
        <v xml:space="preserve">   ZZZ_Monde</v>
      </c>
      <c r="B928" t="str">
        <f>T("   ZZZ_Monde")</f>
        <v xml:space="preserve">   ZZZ_Monde</v>
      </c>
      <c r="C928">
        <v>24718678</v>
      </c>
      <c r="D928">
        <v>13200</v>
      </c>
    </row>
    <row r="929" spans="1:4" x14ac:dyDescent="0.25">
      <c r="A929" t="str">
        <f>T("   TG")</f>
        <v xml:space="preserve">   TG</v>
      </c>
      <c r="B929" t="str">
        <f>T("   Togo")</f>
        <v xml:space="preserve">   Togo</v>
      </c>
      <c r="C929">
        <v>24718678</v>
      </c>
      <c r="D929">
        <v>13200</v>
      </c>
    </row>
    <row r="930" spans="1:4" x14ac:dyDescent="0.25">
      <c r="A930" t="str">
        <f>T("732112")</f>
        <v>732112</v>
      </c>
      <c r="B930" t="str">
        <f>T("Appareils de cuisson tels que foyers de cuisson, barbecues, grilloirs, réchauds et cuisinières, ainsi que chauffe-plats, à usage domestique, en fonte, fer ou acier, à combustibles liquides (à l'excl. des appareils destinés à la cuisine à grande échelle)")</f>
        <v>Appareils de cuisson tels que foyers de cuisson, barbecues, grilloirs, réchauds et cuisinières, ainsi que chauffe-plats, à usage domestique, en fonte, fer ou acier, à combustibles liquides (à l'excl. des appareils destinés à la cuisine à grande échelle)</v>
      </c>
    </row>
    <row r="931" spans="1:4" x14ac:dyDescent="0.25">
      <c r="A931" t="str">
        <f>T("   ZZZ_Monde")</f>
        <v xml:space="preserve">   ZZZ_Monde</v>
      </c>
      <c r="B931" t="str">
        <f>T("   ZZZ_Monde")</f>
        <v xml:space="preserve">   ZZZ_Monde</v>
      </c>
      <c r="C931">
        <v>168300</v>
      </c>
      <c r="D931">
        <v>265</v>
      </c>
    </row>
    <row r="932" spans="1:4" x14ac:dyDescent="0.25">
      <c r="A932" t="str">
        <f>T("   GQ")</f>
        <v xml:space="preserve">   GQ</v>
      </c>
      <c r="B932" t="str">
        <f>T("   Guinée Equatoriale")</f>
        <v xml:space="preserve">   Guinée Equatoriale</v>
      </c>
      <c r="C932">
        <v>168300</v>
      </c>
      <c r="D932">
        <v>265</v>
      </c>
    </row>
    <row r="933" spans="1:4" x14ac:dyDescent="0.25">
      <c r="A933" t="str">
        <f>T("732393")</f>
        <v>732393</v>
      </c>
      <c r="B933"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34" spans="1:4" x14ac:dyDescent="0.25">
      <c r="A934" t="str">
        <f>T("   ZZZ_Monde")</f>
        <v xml:space="preserve">   ZZZ_Monde</v>
      </c>
      <c r="B934" t="str">
        <f>T("   ZZZ_Monde")</f>
        <v xml:space="preserve">   ZZZ_Monde</v>
      </c>
      <c r="C934">
        <v>1928527</v>
      </c>
      <c r="D934">
        <v>5000</v>
      </c>
    </row>
    <row r="935" spans="1:4" x14ac:dyDescent="0.25">
      <c r="A935" t="str">
        <f>T("   BF")</f>
        <v xml:space="preserve">   BF</v>
      </c>
      <c r="B935" t="str">
        <f>T("   Burkina Faso")</f>
        <v xml:space="preserve">   Burkina Faso</v>
      </c>
      <c r="C935">
        <v>482132</v>
      </c>
      <c r="D935">
        <v>1250</v>
      </c>
    </row>
    <row r="936" spans="1:4" x14ac:dyDescent="0.25">
      <c r="A936" t="str">
        <f>T("   ML")</f>
        <v xml:space="preserve">   ML</v>
      </c>
      <c r="B936" t="str">
        <f>T("   Mali")</f>
        <v xml:space="preserve">   Mali</v>
      </c>
      <c r="C936">
        <v>1446395</v>
      </c>
      <c r="D936">
        <v>3750</v>
      </c>
    </row>
    <row r="937" spans="1:4" x14ac:dyDescent="0.25">
      <c r="A937" t="str">
        <f>T("732394")</f>
        <v>732394</v>
      </c>
      <c r="B937"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38" spans="1:4" x14ac:dyDescent="0.25">
      <c r="A938" t="str">
        <f>T("   ZZZ_Monde")</f>
        <v xml:space="preserve">   ZZZ_Monde</v>
      </c>
      <c r="B938" t="str">
        <f>T("   ZZZ_Monde")</f>
        <v xml:space="preserve">   ZZZ_Monde</v>
      </c>
      <c r="C938">
        <v>25900000</v>
      </c>
      <c r="D938">
        <v>37800</v>
      </c>
    </row>
    <row r="939" spans="1:4" x14ac:dyDescent="0.25">
      <c r="A939" t="str">
        <f>T("   BE")</f>
        <v xml:space="preserve">   BE</v>
      </c>
      <c r="B939" t="str">
        <f>T("   Belgique")</f>
        <v xml:space="preserve">   Belgique</v>
      </c>
      <c r="C939">
        <v>3050000</v>
      </c>
      <c r="D939">
        <v>5400</v>
      </c>
    </row>
    <row r="940" spans="1:4" x14ac:dyDescent="0.25">
      <c r="A940" t="str">
        <f>T("   BI")</f>
        <v xml:space="preserve">   BI</v>
      </c>
      <c r="B940" t="str">
        <f>T("   Burundi")</f>
        <v xml:space="preserve">   Burundi</v>
      </c>
      <c r="C940">
        <v>1000000</v>
      </c>
      <c r="D940">
        <v>800</v>
      </c>
    </row>
    <row r="941" spans="1:4" x14ac:dyDescent="0.25">
      <c r="A941" t="str">
        <f>T("   CA")</f>
        <v xml:space="preserve">   CA</v>
      </c>
      <c r="B941" t="str">
        <f>T("   Canada")</f>
        <v xml:space="preserve">   Canada</v>
      </c>
      <c r="C941">
        <v>400000</v>
      </c>
      <c r="D941">
        <v>500</v>
      </c>
    </row>
    <row r="942" spans="1:4" x14ac:dyDescent="0.25">
      <c r="A942" t="str">
        <f>T("   CD")</f>
        <v xml:space="preserve">   CD</v>
      </c>
      <c r="B942" t="str">
        <f>T("   Congo, République Démocratique")</f>
        <v xml:space="preserve">   Congo, République Démocratique</v>
      </c>
      <c r="C942">
        <v>400000</v>
      </c>
      <c r="D942">
        <v>530</v>
      </c>
    </row>
    <row r="943" spans="1:4" x14ac:dyDescent="0.25">
      <c r="A943" t="str">
        <f>T("   CL")</f>
        <v xml:space="preserve">   CL</v>
      </c>
      <c r="B943" t="str">
        <f>T("   Chili")</f>
        <v xml:space="preserve">   Chili</v>
      </c>
      <c r="C943">
        <v>900000</v>
      </c>
      <c r="D943">
        <v>1100</v>
      </c>
    </row>
    <row r="944" spans="1:4" x14ac:dyDescent="0.25">
      <c r="A944" t="str">
        <f>T("   CM")</f>
        <v xml:space="preserve">   CM</v>
      </c>
      <c r="B944" t="str">
        <f>T("   Cameroun")</f>
        <v xml:space="preserve">   Cameroun</v>
      </c>
      <c r="C944">
        <v>1100000</v>
      </c>
      <c r="D944">
        <v>1200</v>
      </c>
    </row>
    <row r="945" spans="1:4" x14ac:dyDescent="0.25">
      <c r="A945" t="str">
        <f>T("   DE")</f>
        <v xml:space="preserve">   DE</v>
      </c>
      <c r="B945" t="str">
        <f>T("   Allemagne")</f>
        <v xml:space="preserve">   Allemagne</v>
      </c>
      <c r="C945">
        <v>2000000</v>
      </c>
      <c r="D945">
        <v>2200</v>
      </c>
    </row>
    <row r="946" spans="1:4" x14ac:dyDescent="0.25">
      <c r="A946" t="str">
        <f>T("   DK")</f>
        <v xml:space="preserve">   DK</v>
      </c>
      <c r="B946" t="str">
        <f>T("   Danemark")</f>
        <v xml:space="preserve">   Danemark</v>
      </c>
      <c r="C946">
        <v>600000</v>
      </c>
      <c r="D946">
        <v>400</v>
      </c>
    </row>
    <row r="947" spans="1:4" x14ac:dyDescent="0.25">
      <c r="A947" t="str">
        <f>T("   DZ")</f>
        <v xml:space="preserve">   DZ</v>
      </c>
      <c r="B947" t="str">
        <f>T("   Algérie")</f>
        <v xml:space="preserve">   Algérie</v>
      </c>
      <c r="C947">
        <v>300000</v>
      </c>
      <c r="D947">
        <v>300</v>
      </c>
    </row>
    <row r="948" spans="1:4" x14ac:dyDescent="0.25">
      <c r="A948" t="str">
        <f>T("   FR")</f>
        <v xml:space="preserve">   FR</v>
      </c>
      <c r="B948" t="str">
        <f>T("   France")</f>
        <v xml:space="preserve">   France</v>
      </c>
      <c r="C948">
        <v>4750000</v>
      </c>
      <c r="D948">
        <v>5170</v>
      </c>
    </row>
    <row r="949" spans="1:4" x14ac:dyDescent="0.25">
      <c r="A949" t="str">
        <f>T("   GA")</f>
        <v xml:space="preserve">   GA</v>
      </c>
      <c r="B949" t="str">
        <f>T("   Gabon")</f>
        <v xml:space="preserve">   Gabon</v>
      </c>
      <c r="C949">
        <v>1100000</v>
      </c>
      <c r="D949">
        <v>1200</v>
      </c>
    </row>
    <row r="950" spans="1:4" x14ac:dyDescent="0.25">
      <c r="A950" t="str">
        <f>T("   GN")</f>
        <v xml:space="preserve">   GN</v>
      </c>
      <c r="B950" t="str">
        <f>T("   Guinée")</f>
        <v xml:space="preserve">   Guinée</v>
      </c>
      <c r="C950">
        <v>500000</v>
      </c>
      <c r="D950">
        <v>1500</v>
      </c>
    </row>
    <row r="951" spans="1:4" x14ac:dyDescent="0.25">
      <c r="A951" t="str">
        <f>T("   GP")</f>
        <v xml:space="preserve">   GP</v>
      </c>
      <c r="B951" t="str">
        <f>T("   Guadeloupe")</f>
        <v xml:space="preserve">   Guadeloupe</v>
      </c>
      <c r="C951">
        <v>500000</v>
      </c>
      <c r="D951">
        <v>800</v>
      </c>
    </row>
    <row r="952" spans="1:4" x14ac:dyDescent="0.25">
      <c r="A952" t="str">
        <f>T("   LR")</f>
        <v xml:space="preserve">   LR</v>
      </c>
      <c r="B952" t="str">
        <f>T("   Libéria")</f>
        <v xml:space="preserve">   Libéria</v>
      </c>
      <c r="C952">
        <v>400000</v>
      </c>
      <c r="D952">
        <v>700</v>
      </c>
    </row>
    <row r="953" spans="1:4" x14ac:dyDescent="0.25">
      <c r="A953" t="str">
        <f>T("   MA")</f>
        <v xml:space="preserve">   MA</v>
      </c>
      <c r="B953" t="str">
        <f>T("   Maroc")</f>
        <v xml:space="preserve">   Maroc</v>
      </c>
      <c r="C953">
        <v>1350000</v>
      </c>
      <c r="D953">
        <v>6500</v>
      </c>
    </row>
    <row r="954" spans="1:4" x14ac:dyDescent="0.25">
      <c r="A954" t="str">
        <f>T("   ML")</f>
        <v xml:space="preserve">   ML</v>
      </c>
      <c r="B954" t="str">
        <f>T("   Mali")</f>
        <v xml:space="preserve">   Mali</v>
      </c>
      <c r="C954">
        <v>200000</v>
      </c>
      <c r="D954">
        <v>300</v>
      </c>
    </row>
    <row r="955" spans="1:4" x14ac:dyDescent="0.25">
      <c r="A955" t="str">
        <f>T("   MQ")</f>
        <v xml:space="preserve">   MQ</v>
      </c>
      <c r="B955" t="str">
        <f>T("   Martinique")</f>
        <v xml:space="preserve">   Martinique</v>
      </c>
      <c r="C955">
        <v>300000</v>
      </c>
      <c r="D955">
        <v>450</v>
      </c>
    </row>
    <row r="956" spans="1:4" x14ac:dyDescent="0.25">
      <c r="A956" t="str">
        <f>T("   NE")</f>
        <v xml:space="preserve">   NE</v>
      </c>
      <c r="B956" t="str">
        <f>T("   Niger")</f>
        <v xml:space="preserve">   Niger</v>
      </c>
      <c r="C956">
        <v>950000</v>
      </c>
      <c r="D956">
        <v>1500</v>
      </c>
    </row>
    <row r="957" spans="1:4" x14ac:dyDescent="0.25">
      <c r="A957" t="str">
        <f>T("   NL")</f>
        <v xml:space="preserve">   NL</v>
      </c>
      <c r="B957" t="str">
        <f>T("   Pays-bas")</f>
        <v xml:space="preserve">   Pays-bas</v>
      </c>
      <c r="C957">
        <v>1200000</v>
      </c>
      <c r="D957">
        <v>750</v>
      </c>
    </row>
    <row r="958" spans="1:4" x14ac:dyDescent="0.25">
      <c r="A958" t="str">
        <f>T("   RW")</f>
        <v xml:space="preserve">   RW</v>
      </c>
      <c r="B958" t="str">
        <f>T("   Rwanda")</f>
        <v xml:space="preserve">   Rwanda</v>
      </c>
      <c r="C958">
        <v>500000</v>
      </c>
      <c r="D958">
        <v>700</v>
      </c>
    </row>
    <row r="959" spans="1:4" x14ac:dyDescent="0.25">
      <c r="A959" t="str">
        <f>T("   SN")</f>
        <v xml:space="preserve">   SN</v>
      </c>
      <c r="B959" t="str">
        <f>T("   Sénégal")</f>
        <v xml:space="preserve">   Sénégal</v>
      </c>
      <c r="C959">
        <v>900000</v>
      </c>
      <c r="D959">
        <v>700</v>
      </c>
    </row>
    <row r="960" spans="1:4" x14ac:dyDescent="0.25">
      <c r="A960" t="str">
        <f>T("   TD")</f>
        <v xml:space="preserve">   TD</v>
      </c>
      <c r="B960" t="str">
        <f>T("   Tchad")</f>
        <v xml:space="preserve">   Tchad</v>
      </c>
      <c r="C960">
        <v>700000</v>
      </c>
      <c r="D960">
        <v>2200</v>
      </c>
    </row>
    <row r="961" spans="1:4" x14ac:dyDescent="0.25">
      <c r="A961" t="str">
        <f>T("   TZ")</f>
        <v xml:space="preserve">   TZ</v>
      </c>
      <c r="B961" t="str">
        <f>T("   Tanzanie")</f>
        <v xml:space="preserve">   Tanzanie</v>
      </c>
      <c r="C961">
        <v>400000</v>
      </c>
      <c r="D961">
        <v>600</v>
      </c>
    </row>
    <row r="962" spans="1:4" x14ac:dyDescent="0.25">
      <c r="A962" t="str">
        <f>T("   UG")</f>
        <v xml:space="preserve">   UG</v>
      </c>
      <c r="B962" t="str">
        <f>T("   Ouganda")</f>
        <v xml:space="preserve">   Ouganda</v>
      </c>
      <c r="C962">
        <v>400000</v>
      </c>
      <c r="D962">
        <v>500</v>
      </c>
    </row>
    <row r="963" spans="1:4" x14ac:dyDescent="0.25">
      <c r="A963" t="str">
        <f>T("   US")</f>
        <v xml:space="preserve">   US</v>
      </c>
      <c r="B963" t="str">
        <f>T("   Etats-Unis")</f>
        <v xml:space="preserve">   Etats-Unis</v>
      </c>
      <c r="C963">
        <v>2000000</v>
      </c>
      <c r="D963">
        <v>1800</v>
      </c>
    </row>
    <row r="964" spans="1:4" x14ac:dyDescent="0.25">
      <c r="A964" t="str">
        <f>T("732399")</f>
        <v>732399</v>
      </c>
      <c r="B964"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965" spans="1:4" x14ac:dyDescent="0.25">
      <c r="A965" t="str">
        <f>T("   ZZZ_Monde")</f>
        <v xml:space="preserve">   ZZZ_Monde</v>
      </c>
      <c r="B965" t="str">
        <f>T("   ZZZ_Monde")</f>
        <v xml:space="preserve">   ZZZ_Monde</v>
      </c>
      <c r="C965">
        <v>47642904</v>
      </c>
      <c r="D965">
        <v>67500</v>
      </c>
    </row>
    <row r="966" spans="1:4" x14ac:dyDescent="0.25">
      <c r="A966" t="str">
        <f>T("   CI")</f>
        <v xml:space="preserve">   CI</v>
      </c>
      <c r="B966" t="str">
        <f>T("   Côte d'Ivoire")</f>
        <v xml:space="preserve">   Côte d'Ivoire</v>
      </c>
      <c r="C966">
        <v>40000441</v>
      </c>
      <c r="D966">
        <v>16000</v>
      </c>
    </row>
    <row r="967" spans="1:4" x14ac:dyDescent="0.25">
      <c r="A967" t="str">
        <f>T("   FR")</f>
        <v xml:space="preserve">   FR</v>
      </c>
      <c r="B967" t="str">
        <f>T("   France")</f>
        <v xml:space="preserve">   France</v>
      </c>
      <c r="C967">
        <v>400000</v>
      </c>
      <c r="D967">
        <v>20000</v>
      </c>
    </row>
    <row r="968" spans="1:4" x14ac:dyDescent="0.25">
      <c r="A968" t="str">
        <f>T("   GH")</f>
        <v xml:space="preserve">   GH</v>
      </c>
      <c r="B968" t="str">
        <f>T("   Ghana")</f>
        <v xml:space="preserve">   Ghana</v>
      </c>
      <c r="C968">
        <v>400000</v>
      </c>
      <c r="D968">
        <v>10000</v>
      </c>
    </row>
    <row r="969" spans="1:4" x14ac:dyDescent="0.25">
      <c r="A969" t="str">
        <f>T("   MR")</f>
        <v xml:space="preserve">   MR</v>
      </c>
      <c r="B969" t="str">
        <f>T("   Mauritanie")</f>
        <v xml:space="preserve">   Mauritanie</v>
      </c>
      <c r="C969">
        <v>6167463</v>
      </c>
      <c r="D969">
        <v>1000</v>
      </c>
    </row>
    <row r="970" spans="1:4" x14ac:dyDescent="0.25">
      <c r="A970" t="str">
        <f>T("   SN")</f>
        <v xml:space="preserve">   SN</v>
      </c>
      <c r="B970" t="str">
        <f>T("   Sénégal")</f>
        <v xml:space="preserve">   Sénégal</v>
      </c>
      <c r="C970">
        <v>100000</v>
      </c>
      <c r="D970">
        <v>10000</v>
      </c>
    </row>
    <row r="971" spans="1:4" x14ac:dyDescent="0.25">
      <c r="A971" t="str">
        <f>T("   TN")</f>
        <v xml:space="preserve">   TN</v>
      </c>
      <c r="B971" t="str">
        <f>T("   Tunisie")</f>
        <v xml:space="preserve">   Tunisie</v>
      </c>
      <c r="C971">
        <v>200000</v>
      </c>
      <c r="D971">
        <v>10000</v>
      </c>
    </row>
    <row r="972" spans="1:4" x14ac:dyDescent="0.25">
      <c r="A972" t="str">
        <f>T("   UG")</f>
        <v xml:space="preserve">   UG</v>
      </c>
      <c r="B972" t="str">
        <f>T("   Ouganda")</f>
        <v xml:space="preserve">   Ouganda</v>
      </c>
      <c r="C972">
        <v>375000</v>
      </c>
      <c r="D972">
        <v>500</v>
      </c>
    </row>
    <row r="973" spans="1:4" x14ac:dyDescent="0.25">
      <c r="A973" t="str">
        <f>T("732591")</f>
        <v>732591</v>
      </c>
      <c r="B973" t="str">
        <f>T("Boulets et simil., pour broyeurs, moulés (sauf en fonte non malléable)")</f>
        <v>Boulets et simil., pour broyeurs, moulés (sauf en fonte non malléable)</v>
      </c>
    </row>
    <row r="974" spans="1:4" x14ac:dyDescent="0.25">
      <c r="A974" t="str">
        <f>T("   ZZZ_Monde")</f>
        <v xml:space="preserve">   ZZZ_Monde</v>
      </c>
      <c r="B974" t="str">
        <f>T("   ZZZ_Monde")</f>
        <v xml:space="preserve">   ZZZ_Monde</v>
      </c>
      <c r="C974">
        <v>6493974</v>
      </c>
      <c r="D974">
        <v>18000</v>
      </c>
    </row>
    <row r="975" spans="1:4" x14ac:dyDescent="0.25">
      <c r="A975" t="str">
        <f>T("   TG")</f>
        <v xml:space="preserve">   TG</v>
      </c>
      <c r="B975" t="str">
        <f>T("   Togo")</f>
        <v xml:space="preserve">   Togo</v>
      </c>
      <c r="C975">
        <v>6493974</v>
      </c>
      <c r="D975">
        <v>18000</v>
      </c>
    </row>
    <row r="976" spans="1:4" x14ac:dyDescent="0.25">
      <c r="A976" t="str">
        <f>T("732599")</f>
        <v>732599</v>
      </c>
      <c r="B976" t="str">
        <f>T("OUVRAGES EN FONTE, FER OU ACIER, MOULÉS, N.D.A. (À L'EXCL. DE LA FONTE NON-MALLÉABLE ET SAUF BOULETS ET ARTICLES SIMIL. POUR BROYEURS)")</f>
        <v>OUVRAGES EN FONTE, FER OU ACIER, MOULÉS, N.D.A. (À L'EXCL. DE LA FONTE NON-MALLÉABLE ET SAUF BOULETS ET ARTICLES SIMIL. POUR BROYEURS)</v>
      </c>
    </row>
    <row r="977" spans="1:4" x14ac:dyDescent="0.25">
      <c r="A977" t="str">
        <f>T("   ZZZ_Monde")</f>
        <v xml:space="preserve">   ZZZ_Monde</v>
      </c>
      <c r="B977" t="str">
        <f>T("   ZZZ_Monde")</f>
        <v xml:space="preserve">   ZZZ_Monde</v>
      </c>
      <c r="C977">
        <v>600000</v>
      </c>
      <c r="D977">
        <v>2000</v>
      </c>
    </row>
    <row r="978" spans="1:4" x14ac:dyDescent="0.25">
      <c r="A978" t="str">
        <f>T("   GA")</f>
        <v xml:space="preserve">   GA</v>
      </c>
      <c r="B978" t="str">
        <f>T("   Gabon")</f>
        <v xml:space="preserve">   Gabon</v>
      </c>
      <c r="C978">
        <v>600000</v>
      </c>
      <c r="D978">
        <v>2000</v>
      </c>
    </row>
    <row r="979" spans="1:4" x14ac:dyDescent="0.25">
      <c r="A979" t="str">
        <f>T("732619")</f>
        <v>732619</v>
      </c>
      <c r="B979"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980" spans="1:4" x14ac:dyDescent="0.25">
      <c r="A980" t="str">
        <f>T("   ZZZ_Monde")</f>
        <v xml:space="preserve">   ZZZ_Monde</v>
      </c>
      <c r="B980" t="str">
        <f>T("   ZZZ_Monde")</f>
        <v xml:space="preserve">   ZZZ_Monde</v>
      </c>
      <c r="C980">
        <v>3610000</v>
      </c>
      <c r="D980">
        <v>10500</v>
      </c>
    </row>
    <row r="981" spans="1:4" x14ac:dyDescent="0.25">
      <c r="A981" t="str">
        <f>T("   CG")</f>
        <v xml:space="preserve">   CG</v>
      </c>
      <c r="B981" t="str">
        <f>T("   Congo (Brazzaville)")</f>
        <v xml:space="preserve">   Congo (Brazzaville)</v>
      </c>
      <c r="C981">
        <v>2410000</v>
      </c>
      <c r="D981">
        <v>6000</v>
      </c>
    </row>
    <row r="982" spans="1:4" x14ac:dyDescent="0.25">
      <c r="A982" t="str">
        <f>T("   DK")</f>
        <v xml:space="preserve">   DK</v>
      </c>
      <c r="B982" t="str">
        <f>T("   Danemark")</f>
        <v xml:space="preserve">   Danemark</v>
      </c>
      <c r="C982">
        <v>1200000</v>
      </c>
      <c r="D982">
        <v>4500</v>
      </c>
    </row>
    <row r="983" spans="1:4" x14ac:dyDescent="0.25">
      <c r="A983" t="str">
        <f>T("732620")</f>
        <v>732620</v>
      </c>
      <c r="B983" t="str">
        <f>T("Ouvrages en fil de fer ou d'acier, n.d.a.")</f>
        <v>Ouvrages en fil de fer ou d'acier, n.d.a.</v>
      </c>
    </row>
    <row r="984" spans="1:4" x14ac:dyDescent="0.25">
      <c r="A984" t="str">
        <f>T("   ZZZ_Monde")</f>
        <v xml:space="preserve">   ZZZ_Monde</v>
      </c>
      <c r="B984" t="str">
        <f>T("   ZZZ_Monde")</f>
        <v xml:space="preserve">   ZZZ_Monde</v>
      </c>
      <c r="C984">
        <v>97595998</v>
      </c>
      <c r="D984">
        <v>155368</v>
      </c>
    </row>
    <row r="985" spans="1:4" x14ac:dyDescent="0.25">
      <c r="A985" t="str">
        <f>T("   CN")</f>
        <v xml:space="preserve">   CN</v>
      </c>
      <c r="B985" t="str">
        <f>T("   Chine")</f>
        <v xml:space="preserve">   Chine</v>
      </c>
      <c r="C985">
        <v>60153185</v>
      </c>
      <c r="D985">
        <v>96913</v>
      </c>
    </row>
    <row r="986" spans="1:4" x14ac:dyDescent="0.25">
      <c r="A986" t="str">
        <f>T("   ID")</f>
        <v xml:space="preserve">   ID</v>
      </c>
      <c r="B986" t="str">
        <f>T("   Indonésie")</f>
        <v xml:space="preserve">   Indonésie</v>
      </c>
      <c r="C986">
        <v>28555080</v>
      </c>
      <c r="D986">
        <v>46717</v>
      </c>
    </row>
    <row r="987" spans="1:4" x14ac:dyDescent="0.25">
      <c r="A987" t="str">
        <f>T("   IT")</f>
        <v xml:space="preserve">   IT</v>
      </c>
      <c r="B987" t="str">
        <f>T("   Italie")</f>
        <v xml:space="preserve">   Italie</v>
      </c>
      <c r="C987">
        <v>808791</v>
      </c>
      <c r="D987">
        <v>948</v>
      </c>
    </row>
    <row r="988" spans="1:4" x14ac:dyDescent="0.25">
      <c r="A988" t="str">
        <f>T("   MY")</f>
        <v xml:space="preserve">   MY</v>
      </c>
      <c r="B988" t="str">
        <f>T("   Malaisie")</f>
        <v xml:space="preserve">   Malaisie</v>
      </c>
      <c r="C988">
        <v>8078942</v>
      </c>
      <c r="D988">
        <v>10790</v>
      </c>
    </row>
    <row r="989" spans="1:4" x14ac:dyDescent="0.25">
      <c r="A989" t="str">
        <f>T("732690")</f>
        <v>732690</v>
      </c>
      <c r="B989"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990" spans="1:4" x14ac:dyDescent="0.25">
      <c r="A990" t="str">
        <f>T("   ZZZ_Monde")</f>
        <v xml:space="preserve">   ZZZ_Monde</v>
      </c>
      <c r="B990" t="str">
        <f>T("   ZZZ_Monde")</f>
        <v xml:space="preserve">   ZZZ_Monde</v>
      </c>
      <c r="C990">
        <v>22900261</v>
      </c>
      <c r="D990">
        <v>24183</v>
      </c>
    </row>
    <row r="991" spans="1:4" x14ac:dyDescent="0.25">
      <c r="A991" t="str">
        <f>T("   BE")</f>
        <v xml:space="preserve">   BE</v>
      </c>
      <c r="B991" t="str">
        <f>T("   Belgique")</f>
        <v xml:space="preserve">   Belgique</v>
      </c>
      <c r="C991">
        <v>290000</v>
      </c>
      <c r="D991">
        <v>645</v>
      </c>
    </row>
    <row r="992" spans="1:4" x14ac:dyDescent="0.25">
      <c r="A992" t="str">
        <f>T("   BF")</f>
        <v xml:space="preserve">   BF</v>
      </c>
      <c r="B992" t="str">
        <f>T("   Burkina Faso")</f>
        <v xml:space="preserve">   Burkina Faso</v>
      </c>
      <c r="C992">
        <v>700000</v>
      </c>
      <c r="D992">
        <v>55</v>
      </c>
    </row>
    <row r="993" spans="1:4" x14ac:dyDescent="0.25">
      <c r="A993" t="str">
        <f>T("   GA")</f>
        <v xml:space="preserve">   GA</v>
      </c>
      <c r="B993" t="str">
        <f>T("   Gabon")</f>
        <v xml:space="preserve">   Gabon</v>
      </c>
      <c r="C993">
        <v>14822007</v>
      </c>
      <c r="D993">
        <v>14000</v>
      </c>
    </row>
    <row r="994" spans="1:4" x14ac:dyDescent="0.25">
      <c r="A994" t="str">
        <f>T("   GH")</f>
        <v xml:space="preserve">   GH</v>
      </c>
      <c r="B994" t="str">
        <f>T("   Ghana")</f>
        <v xml:space="preserve">   Ghana</v>
      </c>
      <c r="C994">
        <v>175797</v>
      </c>
      <c r="D994">
        <v>28</v>
      </c>
    </row>
    <row r="995" spans="1:4" x14ac:dyDescent="0.25">
      <c r="A995" t="str">
        <f>T("   LB")</f>
        <v xml:space="preserve">   LB</v>
      </c>
      <c r="B995" t="str">
        <f>T("   Liban")</f>
        <v xml:space="preserve">   Liban</v>
      </c>
      <c r="C995">
        <v>2937457</v>
      </c>
      <c r="D995">
        <v>5000</v>
      </c>
    </row>
    <row r="996" spans="1:4" x14ac:dyDescent="0.25">
      <c r="A996" t="str">
        <f>T("   ML")</f>
        <v xml:space="preserve">   ML</v>
      </c>
      <c r="B996" t="str">
        <f>T("   Mali")</f>
        <v xml:space="preserve">   Mali</v>
      </c>
      <c r="C996">
        <v>1455000</v>
      </c>
      <c r="D996">
        <v>30</v>
      </c>
    </row>
    <row r="997" spans="1:4" x14ac:dyDescent="0.25">
      <c r="A997" t="str">
        <f>T("   TG")</f>
        <v xml:space="preserve">   TG</v>
      </c>
      <c r="B997" t="str">
        <f>T("   Togo")</f>
        <v xml:space="preserve">   Togo</v>
      </c>
      <c r="C997">
        <v>2520000</v>
      </c>
      <c r="D997">
        <v>4425</v>
      </c>
    </row>
    <row r="998" spans="1:4" x14ac:dyDescent="0.25">
      <c r="A998" t="str">
        <f>T("760200")</f>
        <v>760200</v>
      </c>
      <c r="B998"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999" spans="1:4" x14ac:dyDescent="0.25">
      <c r="A999" t="str">
        <f>T("   ZZZ_Monde")</f>
        <v xml:space="preserve">   ZZZ_Monde</v>
      </c>
      <c r="B999" t="str">
        <f>T("   ZZZ_Monde")</f>
        <v xml:space="preserve">   ZZZ_Monde</v>
      </c>
      <c r="C999">
        <v>53500000</v>
      </c>
      <c r="D999">
        <v>1070000</v>
      </c>
    </row>
    <row r="1000" spans="1:4" x14ac:dyDescent="0.25">
      <c r="A1000" t="str">
        <f>T("   CN")</f>
        <v xml:space="preserve">   CN</v>
      </c>
      <c r="B1000" t="str">
        <f>T("   Chine")</f>
        <v xml:space="preserve">   Chine</v>
      </c>
      <c r="C1000">
        <v>17000000</v>
      </c>
      <c r="D1000">
        <v>340000</v>
      </c>
    </row>
    <row r="1001" spans="1:4" x14ac:dyDescent="0.25">
      <c r="A1001" t="str">
        <f>T("   ID")</f>
        <v xml:space="preserve">   ID</v>
      </c>
      <c r="B1001" t="str">
        <f>T("   Indonésie")</f>
        <v xml:space="preserve">   Indonésie</v>
      </c>
      <c r="C1001">
        <v>1000000</v>
      </c>
      <c r="D1001">
        <v>20000</v>
      </c>
    </row>
    <row r="1002" spans="1:4" x14ac:dyDescent="0.25">
      <c r="A1002" t="str">
        <f>T("   IN")</f>
        <v xml:space="preserve">   IN</v>
      </c>
      <c r="B1002" t="str">
        <f>T("   Inde")</f>
        <v xml:space="preserve">   Inde</v>
      </c>
      <c r="C1002">
        <v>29000000</v>
      </c>
      <c r="D1002">
        <v>580000</v>
      </c>
    </row>
    <row r="1003" spans="1:4" x14ac:dyDescent="0.25">
      <c r="A1003" t="str">
        <f>T("   TN")</f>
        <v xml:space="preserve">   TN</v>
      </c>
      <c r="B1003" t="str">
        <f>T("   Tunisie")</f>
        <v xml:space="preserve">   Tunisie</v>
      </c>
      <c r="C1003">
        <v>1000000</v>
      </c>
      <c r="D1003">
        <v>20000</v>
      </c>
    </row>
    <row r="1004" spans="1:4" x14ac:dyDescent="0.25">
      <c r="A1004" t="str">
        <f>T("   VN")</f>
        <v xml:space="preserve">   VN</v>
      </c>
      <c r="B1004" t="str">
        <f>T("   Vietnam")</f>
        <v xml:space="preserve">   Vietnam</v>
      </c>
      <c r="C1004">
        <v>5500000</v>
      </c>
      <c r="D1004">
        <v>110000</v>
      </c>
    </row>
    <row r="1005" spans="1:4" x14ac:dyDescent="0.25">
      <c r="A1005" t="str">
        <f>T("760611")</f>
        <v>760611</v>
      </c>
      <c r="B1005"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1006" spans="1:4" x14ac:dyDescent="0.25">
      <c r="A1006" t="str">
        <f>T("   ZZZ_Monde")</f>
        <v xml:space="preserve">   ZZZ_Monde</v>
      </c>
      <c r="B1006" t="str">
        <f>T("   ZZZ_Monde")</f>
        <v xml:space="preserve">   ZZZ_Monde</v>
      </c>
      <c r="C1006">
        <v>148082854</v>
      </c>
      <c r="D1006">
        <v>100000</v>
      </c>
    </row>
    <row r="1007" spans="1:4" x14ac:dyDescent="0.25">
      <c r="A1007" t="str">
        <f>T("   BF")</f>
        <v xml:space="preserve">   BF</v>
      </c>
      <c r="B1007" t="str">
        <f>T("   Burkina Faso")</f>
        <v xml:space="preserve">   Burkina Faso</v>
      </c>
      <c r="C1007">
        <v>148082854</v>
      </c>
      <c r="D1007">
        <v>100000</v>
      </c>
    </row>
    <row r="1008" spans="1:4" x14ac:dyDescent="0.25">
      <c r="A1008" t="str">
        <f>T("760820")</f>
        <v>760820</v>
      </c>
      <c r="B1008" t="str">
        <f>T("Tubes et tuyaux en alliages d'aluminium (sauf profilés creux)")</f>
        <v>Tubes et tuyaux en alliages d'aluminium (sauf profilés creux)</v>
      </c>
    </row>
    <row r="1009" spans="1:4" x14ac:dyDescent="0.25">
      <c r="A1009" t="str">
        <f>T("   ZZZ_Monde")</f>
        <v xml:space="preserve">   ZZZ_Monde</v>
      </c>
      <c r="B1009" t="str">
        <f>T("   ZZZ_Monde")</f>
        <v xml:space="preserve">   ZZZ_Monde</v>
      </c>
      <c r="C1009">
        <v>1850000</v>
      </c>
      <c r="D1009">
        <v>180</v>
      </c>
    </row>
    <row r="1010" spans="1:4" x14ac:dyDescent="0.25">
      <c r="A1010" t="str">
        <f>T("   GA")</f>
        <v xml:space="preserve">   GA</v>
      </c>
      <c r="B1010" t="str">
        <f>T("   Gabon")</f>
        <v xml:space="preserve">   Gabon</v>
      </c>
      <c r="C1010">
        <v>1850000</v>
      </c>
      <c r="D1010">
        <v>180</v>
      </c>
    </row>
    <row r="1011" spans="1:4" x14ac:dyDescent="0.25">
      <c r="A1011" t="str">
        <f>T("761090")</f>
        <v>761090</v>
      </c>
      <c r="B1011"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1012" spans="1:4" x14ac:dyDescent="0.25">
      <c r="A1012" t="str">
        <f>T("   ZZZ_Monde")</f>
        <v xml:space="preserve">   ZZZ_Monde</v>
      </c>
      <c r="B1012" t="str">
        <f>T("   ZZZ_Monde")</f>
        <v xml:space="preserve">   ZZZ_Monde</v>
      </c>
      <c r="C1012">
        <v>810000</v>
      </c>
      <c r="D1012">
        <v>520</v>
      </c>
    </row>
    <row r="1013" spans="1:4" x14ac:dyDescent="0.25">
      <c r="A1013" t="str">
        <f>T("   GQ")</f>
        <v xml:space="preserve">   GQ</v>
      </c>
      <c r="B1013" t="str">
        <f>T("   Guinée Equatoriale")</f>
        <v xml:space="preserve">   Guinée Equatoriale</v>
      </c>
      <c r="C1013">
        <v>810000</v>
      </c>
      <c r="D1013">
        <v>520</v>
      </c>
    </row>
    <row r="1014" spans="1:4" x14ac:dyDescent="0.25">
      <c r="A1014" t="str">
        <f>T("820559")</f>
        <v>820559</v>
      </c>
      <c r="B1014" t="str">
        <f>T("Outils à main, y.c. -les diamants de vitrier-, en métaux communs, n.d.a.")</f>
        <v>Outils à main, y.c. -les diamants de vitrier-, en métaux communs, n.d.a.</v>
      </c>
    </row>
    <row r="1015" spans="1:4" x14ac:dyDescent="0.25">
      <c r="A1015" t="str">
        <f>T("   ZZZ_Monde")</f>
        <v xml:space="preserve">   ZZZ_Monde</v>
      </c>
      <c r="B1015" t="str">
        <f>T("   ZZZ_Monde")</f>
        <v xml:space="preserve">   ZZZ_Monde</v>
      </c>
      <c r="C1015">
        <v>4805857</v>
      </c>
      <c r="D1015">
        <v>2452</v>
      </c>
    </row>
    <row r="1016" spans="1:4" x14ac:dyDescent="0.25">
      <c r="A1016" t="str">
        <f>T("   GA")</f>
        <v xml:space="preserve">   GA</v>
      </c>
      <c r="B1016" t="str">
        <f>T("   Gabon")</f>
        <v xml:space="preserve">   Gabon</v>
      </c>
      <c r="C1016">
        <v>100000</v>
      </c>
      <c r="D1016">
        <v>1000</v>
      </c>
    </row>
    <row r="1017" spans="1:4" x14ac:dyDescent="0.25">
      <c r="A1017" t="str">
        <f>T("   GH")</f>
        <v xml:space="preserve">   GH</v>
      </c>
      <c r="B1017" t="str">
        <f>T("   Ghana")</f>
        <v xml:space="preserve">   Ghana</v>
      </c>
      <c r="C1017">
        <v>4705857</v>
      </c>
      <c r="D1017">
        <v>1452</v>
      </c>
    </row>
    <row r="1018" spans="1:4" x14ac:dyDescent="0.25">
      <c r="A1018" t="str">
        <f>T("820600")</f>
        <v>820600</v>
      </c>
      <c r="B1018" t="str">
        <f>T("Outils d'au moins deux du n° 8202 à 8205, conditionnés en assortiments pour la vente au détail")</f>
        <v>Outils d'au moins deux du n° 8202 à 8205, conditionnés en assortiments pour la vente au détail</v>
      </c>
    </row>
    <row r="1019" spans="1:4" x14ac:dyDescent="0.25">
      <c r="A1019" t="str">
        <f>T("   ZZZ_Monde")</f>
        <v xml:space="preserve">   ZZZ_Monde</v>
      </c>
      <c r="B1019" t="str">
        <f>T("   ZZZ_Monde")</f>
        <v xml:space="preserve">   ZZZ_Monde</v>
      </c>
      <c r="C1019">
        <v>147000</v>
      </c>
      <c r="D1019">
        <v>150</v>
      </c>
    </row>
    <row r="1020" spans="1:4" x14ac:dyDescent="0.25">
      <c r="A1020" t="str">
        <f>T("   GQ")</f>
        <v xml:space="preserve">   GQ</v>
      </c>
      <c r="B1020" t="str">
        <f>T("   Guinée Equatoriale")</f>
        <v xml:space="preserve">   Guinée Equatoriale</v>
      </c>
      <c r="C1020">
        <v>147000</v>
      </c>
      <c r="D1020">
        <v>150</v>
      </c>
    </row>
    <row r="1021" spans="1:4" x14ac:dyDescent="0.25">
      <c r="A1021" t="str">
        <f>T("820719")</f>
        <v>820719</v>
      </c>
      <c r="B1021"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1022" spans="1:4" x14ac:dyDescent="0.25">
      <c r="A1022" t="str">
        <f>T("   ZZZ_Monde")</f>
        <v xml:space="preserve">   ZZZ_Monde</v>
      </c>
      <c r="B1022" t="str">
        <f>T("   ZZZ_Monde")</f>
        <v xml:space="preserve">   ZZZ_Monde</v>
      </c>
      <c r="C1022">
        <v>17966400</v>
      </c>
      <c r="D1022">
        <v>58320</v>
      </c>
    </row>
    <row r="1023" spans="1:4" x14ac:dyDescent="0.25">
      <c r="A1023" t="str">
        <f>T("   FR")</f>
        <v xml:space="preserve">   FR</v>
      </c>
      <c r="B1023" t="str">
        <f>T("   France")</f>
        <v xml:space="preserve">   France</v>
      </c>
      <c r="C1023">
        <v>17966400</v>
      </c>
      <c r="D1023">
        <v>58320</v>
      </c>
    </row>
    <row r="1024" spans="1:4" x14ac:dyDescent="0.25">
      <c r="A1024" t="str">
        <f>T("820790")</f>
        <v>820790</v>
      </c>
      <c r="B1024" t="str">
        <f>T("Outils interchangeables pour outillage à main, mécanique ou non, ou pour machines-outils, n.d.a.")</f>
        <v>Outils interchangeables pour outillage à main, mécanique ou non, ou pour machines-outils, n.d.a.</v>
      </c>
    </row>
    <row r="1025" spans="1:4" x14ac:dyDescent="0.25">
      <c r="A1025" t="str">
        <f>T("   ZZZ_Monde")</f>
        <v xml:space="preserve">   ZZZ_Monde</v>
      </c>
      <c r="B1025" t="str">
        <f>T("   ZZZ_Monde")</f>
        <v xml:space="preserve">   ZZZ_Monde</v>
      </c>
      <c r="C1025">
        <v>1524451</v>
      </c>
      <c r="D1025">
        <v>768</v>
      </c>
    </row>
    <row r="1026" spans="1:4" x14ac:dyDescent="0.25">
      <c r="A1026" t="str">
        <f>T("   AE")</f>
        <v xml:space="preserve">   AE</v>
      </c>
      <c r="B1026" t="str">
        <f>T("   Emirats Arabes Unis")</f>
        <v xml:space="preserve">   Emirats Arabes Unis</v>
      </c>
      <c r="C1026">
        <v>1524451</v>
      </c>
      <c r="D1026">
        <v>768</v>
      </c>
    </row>
    <row r="1027" spans="1:4" x14ac:dyDescent="0.25">
      <c r="A1027" t="str">
        <f>T("821490")</f>
        <v>821490</v>
      </c>
      <c r="B1027" t="str">
        <f>T("Tondeuses de coiffeur et autres articles à couper, n.d.a., en métaux communs")</f>
        <v>Tondeuses de coiffeur et autres articles à couper, n.d.a., en métaux communs</v>
      </c>
    </row>
    <row r="1028" spans="1:4" x14ac:dyDescent="0.25">
      <c r="A1028" t="str">
        <f>T("   ZZZ_Monde")</f>
        <v xml:space="preserve">   ZZZ_Monde</v>
      </c>
      <c r="B1028" t="str">
        <f>T("   ZZZ_Monde")</f>
        <v xml:space="preserve">   ZZZ_Monde</v>
      </c>
      <c r="C1028">
        <v>2063650</v>
      </c>
      <c r="D1028">
        <v>192</v>
      </c>
    </row>
    <row r="1029" spans="1:4" x14ac:dyDescent="0.25">
      <c r="A1029" t="str">
        <f>T("   NG")</f>
        <v xml:space="preserve">   NG</v>
      </c>
      <c r="B1029" t="str">
        <f>T("   Nigéria")</f>
        <v xml:space="preserve">   Nigéria</v>
      </c>
      <c r="C1029">
        <v>2063650</v>
      </c>
      <c r="D1029">
        <v>192</v>
      </c>
    </row>
    <row r="1030" spans="1:4" x14ac:dyDescent="0.25">
      <c r="A1030" t="str">
        <f>T("821599")</f>
        <v>821599</v>
      </c>
      <c r="B1030"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1031" spans="1:4" x14ac:dyDescent="0.25">
      <c r="A1031" t="str">
        <f>T("   ZZZ_Monde")</f>
        <v xml:space="preserve">   ZZZ_Monde</v>
      </c>
      <c r="B1031" t="str">
        <f>T("   ZZZ_Monde")</f>
        <v xml:space="preserve">   ZZZ_Monde</v>
      </c>
      <c r="C1031">
        <v>234958750</v>
      </c>
      <c r="D1031">
        <v>12408</v>
      </c>
    </row>
    <row r="1032" spans="1:4" x14ac:dyDescent="0.25">
      <c r="A1032" t="str">
        <f>T("   BF")</f>
        <v xml:space="preserve">   BF</v>
      </c>
      <c r="B1032" t="str">
        <f>T("   Burkina Faso")</f>
        <v xml:space="preserve">   Burkina Faso</v>
      </c>
      <c r="C1032">
        <v>234958750</v>
      </c>
      <c r="D1032">
        <v>12408</v>
      </c>
    </row>
    <row r="1033" spans="1:4" x14ac:dyDescent="0.25">
      <c r="A1033" t="str">
        <f>T("830140")</f>
        <v>830140</v>
      </c>
      <c r="B1033"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1034" spans="1:4" x14ac:dyDescent="0.25">
      <c r="A1034" t="str">
        <f>T("   ZZZ_Monde")</f>
        <v xml:space="preserve">   ZZZ_Monde</v>
      </c>
      <c r="B1034" t="str">
        <f>T("   ZZZ_Monde")</f>
        <v xml:space="preserve">   ZZZ_Monde</v>
      </c>
      <c r="C1034">
        <v>144500</v>
      </c>
      <c r="D1034">
        <v>250</v>
      </c>
    </row>
    <row r="1035" spans="1:4" x14ac:dyDescent="0.25">
      <c r="A1035" t="str">
        <f>T("   GQ")</f>
        <v xml:space="preserve">   GQ</v>
      </c>
      <c r="B1035" t="str">
        <f>T("   Guinée Equatoriale")</f>
        <v xml:space="preserve">   Guinée Equatoriale</v>
      </c>
      <c r="C1035">
        <v>144500</v>
      </c>
      <c r="D1035">
        <v>250</v>
      </c>
    </row>
    <row r="1036" spans="1:4" x14ac:dyDescent="0.25">
      <c r="A1036" t="str">
        <f>T("830910")</f>
        <v>830910</v>
      </c>
      <c r="B1036" t="str">
        <f>T("Bouchons-couronnes en métaux communs")</f>
        <v>Bouchons-couronnes en métaux communs</v>
      </c>
    </row>
    <row r="1037" spans="1:4" x14ac:dyDescent="0.25">
      <c r="A1037" t="str">
        <f>T("   ZZZ_Monde")</f>
        <v xml:space="preserve">   ZZZ_Monde</v>
      </c>
      <c r="B1037" t="str">
        <f>T("   ZZZ_Monde")</f>
        <v xml:space="preserve">   ZZZ_Monde</v>
      </c>
      <c r="C1037">
        <v>1056000</v>
      </c>
      <c r="D1037">
        <v>1583</v>
      </c>
    </row>
    <row r="1038" spans="1:4" x14ac:dyDescent="0.25">
      <c r="A1038" t="str">
        <f>T("   TG")</f>
        <v xml:space="preserve">   TG</v>
      </c>
      <c r="B1038" t="str">
        <f>T("   Togo")</f>
        <v xml:space="preserve">   Togo</v>
      </c>
      <c r="C1038">
        <v>1056000</v>
      </c>
      <c r="D1038">
        <v>1583</v>
      </c>
    </row>
    <row r="1039" spans="1:4" x14ac:dyDescent="0.25">
      <c r="A1039" t="str">
        <f>T("831130")</f>
        <v>831130</v>
      </c>
      <c r="B1039" t="str">
        <f>T("Baguettes enrobées et fils fourrés en métaux communs, pour brasage ou soudage à la flamme (à l'excl. des fils et baguettes à âme décapante chez lesquels le métal de brasage, décapants et fondants non compris, contient &gt;= 2% en poids d'un métal précieux)")</f>
        <v>Baguettes enrobées et fils fourrés en métaux communs, pour brasage ou soudage à la flamme (à l'excl. des fils et baguettes à âme décapante chez lesquels le métal de brasage, décapants et fondants non compris, contient &gt;= 2% en poids d'un métal précieux)</v>
      </c>
    </row>
    <row r="1040" spans="1:4" x14ac:dyDescent="0.25">
      <c r="A1040" t="str">
        <f>T("   ZZZ_Monde")</f>
        <v xml:space="preserve">   ZZZ_Monde</v>
      </c>
      <c r="B1040" t="str">
        <f>T("   ZZZ_Monde")</f>
        <v xml:space="preserve">   ZZZ_Monde</v>
      </c>
      <c r="C1040">
        <v>960000</v>
      </c>
      <c r="D1040">
        <v>1600</v>
      </c>
    </row>
    <row r="1041" spans="1:4" x14ac:dyDescent="0.25">
      <c r="A1041" t="str">
        <f>T("   CI")</f>
        <v xml:space="preserve">   CI</v>
      </c>
      <c r="B1041" t="str">
        <f>T("   Côte d'Ivoire")</f>
        <v xml:space="preserve">   Côte d'Ivoire</v>
      </c>
      <c r="C1041">
        <v>960000</v>
      </c>
      <c r="D1041">
        <v>1600</v>
      </c>
    </row>
    <row r="1042" spans="1:4" x14ac:dyDescent="0.25">
      <c r="A1042" t="str">
        <f>T("831190")</f>
        <v>831190</v>
      </c>
      <c r="B1042" t="str">
        <f>T("Fils, baguettes, tubes, plaques, électrodes et articles simil. en métaux communs ou en carbures métalliques, enrobés ou fourrés de décapants ou de fondants, pour brasage, soudage ou dépôt de métal ou de carbures métalliques, n.d.a., ainsi que fils et bagu")</f>
        <v>Fils, baguettes, tubes, plaques, électrodes et articles simil. en métaux communs ou en carbures métalliques, enrobés ou fourrés de décapants ou de fondants, pour brasage, soudage ou dépôt de métal ou de carbures métalliques, n.d.a., ainsi que fils et bagu</v>
      </c>
    </row>
    <row r="1043" spans="1:4" x14ac:dyDescent="0.25">
      <c r="A1043" t="str">
        <f>T("   ZZZ_Monde")</f>
        <v xml:space="preserve">   ZZZ_Monde</v>
      </c>
      <c r="B1043" t="str">
        <f>T("   ZZZ_Monde")</f>
        <v xml:space="preserve">   ZZZ_Monde</v>
      </c>
      <c r="C1043">
        <v>200000</v>
      </c>
      <c r="D1043">
        <v>1000</v>
      </c>
    </row>
    <row r="1044" spans="1:4" x14ac:dyDescent="0.25">
      <c r="A1044" t="str">
        <f>T("   CG")</f>
        <v xml:space="preserve">   CG</v>
      </c>
      <c r="B1044" t="str">
        <f>T("   Congo (Brazzaville)")</f>
        <v xml:space="preserve">   Congo (Brazzaville)</v>
      </c>
      <c r="C1044">
        <v>200000</v>
      </c>
      <c r="D1044">
        <v>1000</v>
      </c>
    </row>
    <row r="1045" spans="1:4" x14ac:dyDescent="0.25">
      <c r="A1045" t="str">
        <f>T("840590")</f>
        <v>840590</v>
      </c>
      <c r="B1045" t="str">
        <f>T("Parties des générateurs de gaz à l'air ou de gaz à l'eau et des générateurs d'acétylène ou des générateurs simil. de gaz par procédé à l'eau, n.d.a.")</f>
        <v>Parties des générateurs de gaz à l'air ou de gaz à l'eau et des générateurs d'acétylène ou des générateurs simil. de gaz par procédé à l'eau, n.d.a.</v>
      </c>
    </row>
    <row r="1046" spans="1:4" x14ac:dyDescent="0.25">
      <c r="A1046" t="str">
        <f>T("   ZZZ_Monde")</f>
        <v xml:space="preserve">   ZZZ_Monde</v>
      </c>
      <c r="B1046" t="str">
        <f>T("   ZZZ_Monde")</f>
        <v xml:space="preserve">   ZZZ_Monde</v>
      </c>
      <c r="C1046">
        <v>1364437</v>
      </c>
      <c r="D1046">
        <v>16800</v>
      </c>
    </row>
    <row r="1047" spans="1:4" x14ac:dyDescent="0.25">
      <c r="A1047" t="str">
        <f>T("   GN")</f>
        <v xml:space="preserve">   GN</v>
      </c>
      <c r="B1047" t="str">
        <f>T("   Guinée")</f>
        <v xml:space="preserve">   Guinée</v>
      </c>
      <c r="C1047">
        <v>1364437</v>
      </c>
      <c r="D1047">
        <v>16800</v>
      </c>
    </row>
    <row r="1048" spans="1:4" x14ac:dyDescent="0.25">
      <c r="A1048" t="str">
        <f>T("840734")</f>
        <v>840734</v>
      </c>
      <c r="B1048" t="s">
        <v>14</v>
      </c>
    </row>
    <row r="1049" spans="1:4" x14ac:dyDescent="0.25">
      <c r="A1049" t="str">
        <f>T("   ZZZ_Monde")</f>
        <v xml:space="preserve">   ZZZ_Monde</v>
      </c>
      <c r="B1049" t="str">
        <f>T("   ZZZ_Monde")</f>
        <v xml:space="preserve">   ZZZ_Monde</v>
      </c>
      <c r="C1049">
        <v>1370000</v>
      </c>
      <c r="D1049">
        <v>260</v>
      </c>
    </row>
    <row r="1050" spans="1:4" x14ac:dyDescent="0.25">
      <c r="A1050" t="str">
        <f>T("   GQ")</f>
        <v xml:space="preserve">   GQ</v>
      </c>
      <c r="B1050" t="str">
        <f>T("   Guinée Equatoriale")</f>
        <v xml:space="preserve">   Guinée Equatoriale</v>
      </c>
      <c r="C1050">
        <v>1370000</v>
      </c>
      <c r="D1050">
        <v>260</v>
      </c>
    </row>
    <row r="1051" spans="1:4" x14ac:dyDescent="0.25">
      <c r="A1051" t="str">
        <f>T("840820")</f>
        <v>840820</v>
      </c>
      <c r="B1051" t="s">
        <v>15</v>
      </c>
    </row>
    <row r="1052" spans="1:4" x14ac:dyDescent="0.25">
      <c r="A1052" t="str">
        <f>T("   ZZZ_Monde")</f>
        <v xml:space="preserve">   ZZZ_Monde</v>
      </c>
      <c r="B1052" t="str">
        <f>T("   ZZZ_Monde")</f>
        <v xml:space="preserve">   ZZZ_Monde</v>
      </c>
      <c r="C1052">
        <v>900000</v>
      </c>
      <c r="D1052">
        <v>1200</v>
      </c>
    </row>
    <row r="1053" spans="1:4" x14ac:dyDescent="0.25">
      <c r="A1053" t="str">
        <f>T("   CD")</f>
        <v xml:space="preserve">   CD</v>
      </c>
      <c r="B1053" t="str">
        <f>T("   Congo, République Démocratique")</f>
        <v xml:space="preserve">   Congo, République Démocratique</v>
      </c>
      <c r="C1053">
        <v>300000</v>
      </c>
      <c r="D1053">
        <v>1000</v>
      </c>
    </row>
    <row r="1054" spans="1:4" x14ac:dyDescent="0.25">
      <c r="A1054" t="str">
        <f>T("   NE")</f>
        <v xml:space="preserve">   NE</v>
      </c>
      <c r="B1054" t="str">
        <f>T("   Niger")</f>
        <v xml:space="preserve">   Niger</v>
      </c>
      <c r="C1054">
        <v>600000</v>
      </c>
      <c r="D1054">
        <v>200</v>
      </c>
    </row>
    <row r="1055" spans="1:4" x14ac:dyDescent="0.25">
      <c r="A1055" t="str">
        <f>T("840890")</f>
        <v>840890</v>
      </c>
      <c r="B1055" t="s">
        <v>16</v>
      </c>
    </row>
    <row r="1056" spans="1:4" x14ac:dyDescent="0.25">
      <c r="A1056" t="str">
        <f>T("   ZZZ_Monde")</f>
        <v xml:space="preserve">   ZZZ_Monde</v>
      </c>
      <c r="B1056" t="str">
        <f>T("   ZZZ_Monde")</f>
        <v xml:space="preserve">   ZZZ_Monde</v>
      </c>
      <c r="C1056">
        <v>87978315</v>
      </c>
      <c r="D1056">
        <v>9107</v>
      </c>
    </row>
    <row r="1057" spans="1:4" x14ac:dyDescent="0.25">
      <c r="A1057" t="str">
        <f>T("   BE")</f>
        <v xml:space="preserve">   BE</v>
      </c>
      <c r="B1057" t="str">
        <f>T("   Belgique")</f>
        <v xml:space="preserve">   Belgique</v>
      </c>
      <c r="C1057">
        <v>86478315</v>
      </c>
      <c r="D1057">
        <v>7707</v>
      </c>
    </row>
    <row r="1058" spans="1:4" x14ac:dyDescent="0.25">
      <c r="A1058" t="str">
        <f>T("   FR")</f>
        <v xml:space="preserve">   FR</v>
      </c>
      <c r="B1058" t="str">
        <f>T("   France")</f>
        <v xml:space="preserve">   France</v>
      </c>
      <c r="C1058">
        <v>1200000</v>
      </c>
      <c r="D1058">
        <v>1200</v>
      </c>
    </row>
    <row r="1059" spans="1:4" x14ac:dyDescent="0.25">
      <c r="A1059" t="str">
        <f>T("   GN")</f>
        <v xml:space="preserve">   GN</v>
      </c>
      <c r="B1059" t="str">
        <f>T("   Guinée")</f>
        <v xml:space="preserve">   Guinée</v>
      </c>
      <c r="C1059">
        <v>300000</v>
      </c>
      <c r="D1059">
        <v>200</v>
      </c>
    </row>
    <row r="1060" spans="1:4" x14ac:dyDescent="0.25">
      <c r="A1060" t="str">
        <f>T("841290")</f>
        <v>841290</v>
      </c>
      <c r="B1060" t="str">
        <f>T("PARTIES DE MOTEURS ET MACHINES MOTRICES NON-ÉLECTRIQUES, N.D.A.")</f>
        <v>PARTIES DE MOTEURS ET MACHINES MOTRICES NON-ÉLECTRIQUES, N.D.A.</v>
      </c>
    </row>
    <row r="1061" spans="1:4" x14ac:dyDescent="0.25">
      <c r="A1061" t="str">
        <f>T("   ZZZ_Monde")</f>
        <v xml:space="preserve">   ZZZ_Monde</v>
      </c>
      <c r="B1061" t="str">
        <f>T("   ZZZ_Monde")</f>
        <v xml:space="preserve">   ZZZ_Monde</v>
      </c>
      <c r="C1061">
        <v>13165827</v>
      </c>
      <c r="D1061">
        <v>10452</v>
      </c>
    </row>
    <row r="1062" spans="1:4" x14ac:dyDescent="0.25">
      <c r="A1062" t="str">
        <f>T("   NG")</f>
        <v xml:space="preserve">   NG</v>
      </c>
      <c r="B1062" t="str">
        <f>T("   Nigéria")</f>
        <v xml:space="preserve">   Nigéria</v>
      </c>
      <c r="C1062">
        <v>13165827</v>
      </c>
      <c r="D1062">
        <v>10452</v>
      </c>
    </row>
    <row r="1063" spans="1:4" x14ac:dyDescent="0.25">
      <c r="A1063" t="str">
        <f>T("841319")</f>
        <v>841319</v>
      </c>
      <c r="B1063"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064" spans="1:4" x14ac:dyDescent="0.25">
      <c r="A1064" t="str">
        <f>T("   ZZZ_Monde")</f>
        <v xml:space="preserve">   ZZZ_Monde</v>
      </c>
      <c r="B1064" t="str">
        <f>T("   ZZZ_Monde")</f>
        <v xml:space="preserve">   ZZZ_Monde</v>
      </c>
      <c r="C1064">
        <v>8480648</v>
      </c>
      <c r="D1064">
        <v>6080</v>
      </c>
    </row>
    <row r="1065" spans="1:4" x14ac:dyDescent="0.25">
      <c r="A1065" t="str">
        <f>T("   TG")</f>
        <v xml:space="preserve">   TG</v>
      </c>
      <c r="B1065" t="str">
        <f>T("   Togo")</f>
        <v xml:space="preserve">   Togo</v>
      </c>
      <c r="C1065">
        <v>8480648</v>
      </c>
      <c r="D1065">
        <v>6080</v>
      </c>
    </row>
    <row r="1066" spans="1:4" x14ac:dyDescent="0.25">
      <c r="A1066" t="str">
        <f>T("841340")</f>
        <v>841340</v>
      </c>
      <c r="B1066" t="str">
        <f>T("Pompes à béton")</f>
        <v>Pompes à béton</v>
      </c>
    </row>
    <row r="1067" spans="1:4" x14ac:dyDescent="0.25">
      <c r="A1067" t="str">
        <f>T("   ZZZ_Monde")</f>
        <v xml:space="preserve">   ZZZ_Monde</v>
      </c>
      <c r="B1067" t="str">
        <f>T("   ZZZ_Monde")</f>
        <v xml:space="preserve">   ZZZ_Monde</v>
      </c>
      <c r="C1067">
        <v>30645300</v>
      </c>
      <c r="D1067">
        <v>82952</v>
      </c>
    </row>
    <row r="1068" spans="1:4" x14ac:dyDescent="0.25">
      <c r="A1068" t="str">
        <f>T("   FR")</f>
        <v xml:space="preserve">   FR</v>
      </c>
      <c r="B1068" t="str">
        <f>T("   France")</f>
        <v xml:space="preserve">   France</v>
      </c>
      <c r="C1068">
        <v>30645300</v>
      </c>
      <c r="D1068">
        <v>82952</v>
      </c>
    </row>
    <row r="1069" spans="1:4" x14ac:dyDescent="0.25">
      <c r="A1069" t="str">
        <f>T("841381")</f>
        <v>841381</v>
      </c>
      <c r="B1069"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70" spans="1:4" x14ac:dyDescent="0.25">
      <c r="A1070" t="str">
        <f>T("   ZZZ_Monde")</f>
        <v xml:space="preserve">   ZZZ_Monde</v>
      </c>
      <c r="B1070" t="str">
        <f>T("   ZZZ_Monde")</f>
        <v xml:space="preserve">   ZZZ_Monde</v>
      </c>
      <c r="C1070">
        <v>9295452</v>
      </c>
      <c r="D1070">
        <v>6690</v>
      </c>
    </row>
    <row r="1071" spans="1:4" x14ac:dyDescent="0.25">
      <c r="A1071" t="str">
        <f>T("   ML")</f>
        <v xml:space="preserve">   ML</v>
      </c>
      <c r="B1071" t="str">
        <f>T("   Mali")</f>
        <v xml:space="preserve">   Mali</v>
      </c>
      <c r="C1071">
        <v>8815446</v>
      </c>
      <c r="D1071">
        <v>1690</v>
      </c>
    </row>
    <row r="1072" spans="1:4" x14ac:dyDescent="0.25">
      <c r="A1072" t="str">
        <f>T("   TG")</f>
        <v xml:space="preserve">   TG</v>
      </c>
      <c r="B1072" t="str">
        <f>T("   Togo")</f>
        <v xml:space="preserve">   Togo</v>
      </c>
      <c r="C1072">
        <v>480006</v>
      </c>
      <c r="D1072">
        <v>5000</v>
      </c>
    </row>
    <row r="1073" spans="1:4" x14ac:dyDescent="0.25">
      <c r="A1073" t="str">
        <f>T("841382")</f>
        <v>841382</v>
      </c>
      <c r="B1073" t="str">
        <f>T("Elévateurs à liquides (à l'excl. des pompes)")</f>
        <v>Elévateurs à liquides (à l'excl. des pompes)</v>
      </c>
    </row>
    <row r="1074" spans="1:4" x14ac:dyDescent="0.25">
      <c r="A1074" t="str">
        <f>T("   ZZZ_Monde")</f>
        <v xml:space="preserve">   ZZZ_Monde</v>
      </c>
      <c r="B1074" t="str">
        <f>T("   ZZZ_Monde")</f>
        <v xml:space="preserve">   ZZZ_Monde</v>
      </c>
      <c r="C1074">
        <v>27859234</v>
      </c>
      <c r="D1074">
        <v>14843</v>
      </c>
    </row>
    <row r="1075" spans="1:4" x14ac:dyDescent="0.25">
      <c r="A1075" t="str">
        <f>T("   FR")</f>
        <v xml:space="preserve">   FR</v>
      </c>
      <c r="B1075" t="str">
        <f>T("   France")</f>
        <v xml:space="preserve">   France</v>
      </c>
      <c r="C1075">
        <v>23859234</v>
      </c>
      <c r="D1075">
        <v>4373</v>
      </c>
    </row>
    <row r="1076" spans="1:4" x14ac:dyDescent="0.25">
      <c r="A1076" t="str">
        <f>T("   TG")</f>
        <v xml:space="preserve">   TG</v>
      </c>
      <c r="B1076" t="str">
        <f>T("   Togo")</f>
        <v xml:space="preserve">   Togo</v>
      </c>
      <c r="C1076">
        <v>4000000</v>
      </c>
      <c r="D1076">
        <v>10470</v>
      </c>
    </row>
    <row r="1077" spans="1:4" x14ac:dyDescent="0.25">
      <c r="A1077" t="str">
        <f>T("841391")</f>
        <v>841391</v>
      </c>
      <c r="B1077" t="str">
        <f>T("Parties de pompes pour liquides, n.d.a.")</f>
        <v>Parties de pompes pour liquides, n.d.a.</v>
      </c>
    </row>
    <row r="1078" spans="1:4" x14ac:dyDescent="0.25">
      <c r="A1078" t="str">
        <f>T("   ZZZ_Monde")</f>
        <v xml:space="preserve">   ZZZ_Monde</v>
      </c>
      <c r="B1078" t="str">
        <f>T("   ZZZ_Monde")</f>
        <v xml:space="preserve">   ZZZ_Monde</v>
      </c>
      <c r="C1078">
        <v>1393842</v>
      </c>
      <c r="D1078">
        <v>4810</v>
      </c>
    </row>
    <row r="1079" spans="1:4" x14ac:dyDescent="0.25">
      <c r="A1079" t="str">
        <f>T("   DE")</f>
        <v xml:space="preserve">   DE</v>
      </c>
      <c r="B1079" t="str">
        <f>T("   Allemagne")</f>
        <v xml:space="preserve">   Allemagne</v>
      </c>
      <c r="C1079">
        <v>1193842</v>
      </c>
      <c r="D1079">
        <v>810</v>
      </c>
    </row>
    <row r="1080" spans="1:4" x14ac:dyDescent="0.25">
      <c r="A1080" t="str">
        <f>T("   GA")</f>
        <v xml:space="preserve">   GA</v>
      </c>
      <c r="B1080" t="str">
        <f>T("   Gabon")</f>
        <v xml:space="preserve">   Gabon</v>
      </c>
      <c r="C1080">
        <v>200000</v>
      </c>
      <c r="D1080">
        <v>4000</v>
      </c>
    </row>
    <row r="1081" spans="1:4" x14ac:dyDescent="0.25">
      <c r="A1081" t="str">
        <f>T("841430")</f>
        <v>841430</v>
      </c>
      <c r="B1081" t="str">
        <f>T("Compresseurs des types utilisés pour équipements frigorifiques")</f>
        <v>Compresseurs des types utilisés pour équipements frigorifiques</v>
      </c>
    </row>
    <row r="1082" spans="1:4" x14ac:dyDescent="0.25">
      <c r="A1082" t="str">
        <f>T("   ZZZ_Monde")</f>
        <v xml:space="preserve">   ZZZ_Monde</v>
      </c>
      <c r="B1082" t="str">
        <f>T("   ZZZ_Monde")</f>
        <v xml:space="preserve">   ZZZ_Monde</v>
      </c>
      <c r="C1082">
        <v>459172</v>
      </c>
      <c r="D1082">
        <v>1881</v>
      </c>
    </row>
    <row r="1083" spans="1:4" x14ac:dyDescent="0.25">
      <c r="A1083" t="str">
        <f>T("   GN")</f>
        <v xml:space="preserve">   GN</v>
      </c>
      <c r="B1083" t="str">
        <f>T("   Guinée")</f>
        <v xml:space="preserve">   Guinée</v>
      </c>
      <c r="C1083">
        <v>459172</v>
      </c>
      <c r="D1083">
        <v>1881</v>
      </c>
    </row>
    <row r="1084" spans="1:4" x14ac:dyDescent="0.25">
      <c r="A1084" t="str">
        <f>T("841440")</f>
        <v>841440</v>
      </c>
      <c r="B1084" t="str">
        <f>T("Compresseurs d'air montés sur châssis à roues et remorquables")</f>
        <v>Compresseurs d'air montés sur châssis à roues et remorquables</v>
      </c>
    </row>
    <row r="1085" spans="1:4" x14ac:dyDescent="0.25">
      <c r="A1085" t="str">
        <f>T("   ZZZ_Monde")</f>
        <v xml:space="preserve">   ZZZ_Monde</v>
      </c>
      <c r="B1085" t="str">
        <f>T("   ZZZ_Monde")</f>
        <v xml:space="preserve">   ZZZ_Monde</v>
      </c>
      <c r="C1085">
        <v>6852674</v>
      </c>
      <c r="D1085">
        <v>2900</v>
      </c>
    </row>
    <row r="1086" spans="1:4" x14ac:dyDescent="0.25">
      <c r="A1086" t="str">
        <f>T("   GA")</f>
        <v xml:space="preserve">   GA</v>
      </c>
      <c r="B1086" t="str">
        <f>T("   Gabon")</f>
        <v xml:space="preserve">   Gabon</v>
      </c>
      <c r="C1086">
        <v>1237000</v>
      </c>
      <c r="D1086">
        <v>2000</v>
      </c>
    </row>
    <row r="1087" spans="1:4" x14ac:dyDescent="0.25">
      <c r="A1087" t="str">
        <f>T("   GH")</f>
        <v xml:space="preserve">   GH</v>
      </c>
      <c r="B1087" t="str">
        <f>T("   Ghana")</f>
        <v xml:space="preserve">   Ghana</v>
      </c>
      <c r="C1087">
        <v>5615674</v>
      </c>
      <c r="D1087">
        <v>900</v>
      </c>
    </row>
    <row r="1088" spans="1:4" x14ac:dyDescent="0.25">
      <c r="A1088" t="str">
        <f>T("841459")</f>
        <v>841459</v>
      </c>
      <c r="B1088"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089" spans="1:4" x14ac:dyDescent="0.25">
      <c r="A1089" t="str">
        <f>T("   ZZZ_Monde")</f>
        <v xml:space="preserve">   ZZZ_Monde</v>
      </c>
      <c r="B1089" t="str">
        <f>T("   ZZZ_Monde")</f>
        <v xml:space="preserve">   ZZZ_Monde</v>
      </c>
      <c r="C1089">
        <v>1500000</v>
      </c>
      <c r="D1089">
        <v>1375</v>
      </c>
    </row>
    <row r="1090" spans="1:4" x14ac:dyDescent="0.25">
      <c r="A1090" t="str">
        <f>T("   TG")</f>
        <v xml:space="preserve">   TG</v>
      </c>
      <c r="B1090" t="str">
        <f>T("   Togo")</f>
        <v xml:space="preserve">   Togo</v>
      </c>
      <c r="C1090">
        <v>1500000</v>
      </c>
      <c r="D1090">
        <v>1375</v>
      </c>
    </row>
    <row r="1091" spans="1:4" x14ac:dyDescent="0.25">
      <c r="A1091" t="str">
        <f>T("841510")</f>
        <v>841510</v>
      </c>
      <c r="B1091" t="s">
        <v>17</v>
      </c>
    </row>
    <row r="1092" spans="1:4" x14ac:dyDescent="0.25">
      <c r="A1092" t="str">
        <f>T("   ZZZ_Monde")</f>
        <v xml:space="preserve">   ZZZ_Monde</v>
      </c>
      <c r="B1092" t="str">
        <f>T("   ZZZ_Monde")</f>
        <v xml:space="preserve">   ZZZ_Monde</v>
      </c>
      <c r="C1092">
        <v>113176110</v>
      </c>
      <c r="D1092">
        <v>31380</v>
      </c>
    </row>
    <row r="1093" spans="1:4" x14ac:dyDescent="0.25">
      <c r="A1093" t="str">
        <f>T("   GN")</f>
        <v xml:space="preserve">   GN</v>
      </c>
      <c r="B1093" t="str">
        <f>T("   Guinée")</f>
        <v xml:space="preserve">   Guinée</v>
      </c>
      <c r="C1093">
        <v>530000</v>
      </c>
      <c r="D1093">
        <v>280</v>
      </c>
    </row>
    <row r="1094" spans="1:4" x14ac:dyDescent="0.25">
      <c r="A1094" t="str">
        <f>T("   NE")</f>
        <v xml:space="preserve">   NE</v>
      </c>
      <c r="B1094" t="str">
        <f>T("   Niger")</f>
        <v xml:space="preserve">   Niger</v>
      </c>
      <c r="C1094">
        <v>700000</v>
      </c>
      <c r="D1094">
        <v>150</v>
      </c>
    </row>
    <row r="1095" spans="1:4" x14ac:dyDescent="0.25">
      <c r="A1095" t="str">
        <f>T("   TG")</f>
        <v xml:space="preserve">   TG</v>
      </c>
      <c r="B1095" t="str">
        <f>T("   Togo")</f>
        <v xml:space="preserve">   Togo</v>
      </c>
      <c r="C1095">
        <v>111946110</v>
      </c>
      <c r="D1095">
        <v>30950</v>
      </c>
    </row>
    <row r="1096" spans="1:4" x14ac:dyDescent="0.25">
      <c r="A1096" t="str">
        <f>T("841810")</f>
        <v>841810</v>
      </c>
      <c r="B1096" t="str">
        <f>T("Réfrigérateurs et congélateurs-conservateurs combinés, avec portes extérieures séparées")</f>
        <v>Réfrigérateurs et congélateurs-conservateurs combinés, avec portes extérieures séparées</v>
      </c>
    </row>
    <row r="1097" spans="1:4" x14ac:dyDescent="0.25">
      <c r="A1097" t="str">
        <f>T("   ZZZ_Monde")</f>
        <v xml:space="preserve">   ZZZ_Monde</v>
      </c>
      <c r="B1097" t="str">
        <f>T("   ZZZ_Monde")</f>
        <v xml:space="preserve">   ZZZ_Monde</v>
      </c>
      <c r="C1097">
        <v>20264779</v>
      </c>
      <c r="D1097">
        <v>4690</v>
      </c>
    </row>
    <row r="1098" spans="1:4" x14ac:dyDescent="0.25">
      <c r="A1098" t="str">
        <f>T("   TG")</f>
        <v xml:space="preserve">   TG</v>
      </c>
      <c r="B1098" t="str">
        <f>T("   Togo")</f>
        <v xml:space="preserve">   Togo</v>
      </c>
      <c r="C1098">
        <v>20264779</v>
      </c>
      <c r="D1098">
        <v>4690</v>
      </c>
    </row>
    <row r="1099" spans="1:4" x14ac:dyDescent="0.25">
      <c r="A1099" t="str">
        <f>T("841829")</f>
        <v>841829</v>
      </c>
      <c r="B1099" t="str">
        <f>T("Réfrigérateurs ménagers à absorption, non-électriques")</f>
        <v>Réfrigérateurs ménagers à absorption, non-électriques</v>
      </c>
    </row>
    <row r="1100" spans="1:4" x14ac:dyDescent="0.25">
      <c r="A1100" t="str">
        <f>T("   ZZZ_Monde")</f>
        <v xml:space="preserve">   ZZZ_Monde</v>
      </c>
      <c r="B1100" t="str">
        <f>T("   ZZZ_Monde")</f>
        <v xml:space="preserve">   ZZZ_Monde</v>
      </c>
      <c r="C1100">
        <v>16870911</v>
      </c>
      <c r="D1100">
        <v>11800</v>
      </c>
    </row>
    <row r="1101" spans="1:4" x14ac:dyDescent="0.25">
      <c r="A1101" t="str">
        <f>T("   LB")</f>
        <v xml:space="preserve">   LB</v>
      </c>
      <c r="B1101" t="str">
        <f>T("   Liban")</f>
        <v xml:space="preserve">   Liban</v>
      </c>
      <c r="C1101">
        <v>1500366</v>
      </c>
      <c r="D1101">
        <v>1000</v>
      </c>
    </row>
    <row r="1102" spans="1:4" x14ac:dyDescent="0.25">
      <c r="A1102" t="str">
        <f>T("   SN")</f>
        <v xml:space="preserve">   SN</v>
      </c>
      <c r="B1102" t="str">
        <f>T("   Sénégal")</f>
        <v xml:space="preserve">   Sénégal</v>
      </c>
      <c r="C1102">
        <v>3025000</v>
      </c>
      <c r="D1102">
        <v>6000</v>
      </c>
    </row>
    <row r="1103" spans="1:4" x14ac:dyDescent="0.25">
      <c r="A1103" t="str">
        <f>T("   TG")</f>
        <v xml:space="preserve">   TG</v>
      </c>
      <c r="B1103" t="str">
        <f>T("   Togo")</f>
        <v xml:space="preserve">   Togo</v>
      </c>
      <c r="C1103">
        <v>12345545</v>
      </c>
      <c r="D1103">
        <v>4800</v>
      </c>
    </row>
    <row r="1104" spans="1:4" x14ac:dyDescent="0.25">
      <c r="A1104" t="str">
        <f>T("841861")</f>
        <v>841861</v>
      </c>
      <c r="B1104" t="str">
        <f>T("Groupes à compression pour la production du froid, dont le condenseur est constitué par un échangeur de chaleur")</f>
        <v>Groupes à compression pour la production du froid, dont le condenseur est constitué par un échangeur de chaleur</v>
      </c>
    </row>
    <row r="1105" spans="1:4" x14ac:dyDescent="0.25">
      <c r="A1105" t="str">
        <f>T("   ZZZ_Monde")</f>
        <v xml:space="preserve">   ZZZ_Monde</v>
      </c>
      <c r="B1105" t="str">
        <f>T("   ZZZ_Monde")</f>
        <v xml:space="preserve">   ZZZ_Monde</v>
      </c>
      <c r="C1105">
        <v>12319202</v>
      </c>
      <c r="D1105">
        <v>681</v>
      </c>
    </row>
    <row r="1106" spans="1:4" x14ac:dyDescent="0.25">
      <c r="A1106" t="str">
        <f>T("   NG")</f>
        <v xml:space="preserve">   NG</v>
      </c>
      <c r="B1106" t="str">
        <f>T("   Nigéria")</f>
        <v xml:space="preserve">   Nigéria</v>
      </c>
      <c r="C1106">
        <v>12319202</v>
      </c>
      <c r="D1106">
        <v>681</v>
      </c>
    </row>
    <row r="1107" spans="1:4" x14ac:dyDescent="0.25">
      <c r="A1107" t="str">
        <f>T("842519")</f>
        <v>842519</v>
      </c>
      <c r="B1107" t="str">
        <f>T("Palans autres qu'à moteur électrique")</f>
        <v>Palans autres qu'à moteur électrique</v>
      </c>
    </row>
    <row r="1108" spans="1:4" x14ac:dyDescent="0.25">
      <c r="A1108" t="str">
        <f>T("   ZZZ_Monde")</f>
        <v xml:space="preserve">   ZZZ_Monde</v>
      </c>
      <c r="B1108" t="str">
        <f>T("   ZZZ_Monde")</f>
        <v xml:space="preserve">   ZZZ_Monde</v>
      </c>
      <c r="C1108">
        <v>81339</v>
      </c>
      <c r="D1108">
        <v>15</v>
      </c>
    </row>
    <row r="1109" spans="1:4" x14ac:dyDescent="0.25">
      <c r="A1109" t="str">
        <f>T("   GH")</f>
        <v xml:space="preserve">   GH</v>
      </c>
      <c r="B1109" t="str">
        <f>T("   Ghana")</f>
        <v xml:space="preserve">   Ghana</v>
      </c>
      <c r="C1109">
        <v>81339</v>
      </c>
      <c r="D1109">
        <v>15</v>
      </c>
    </row>
    <row r="1110" spans="1:4" x14ac:dyDescent="0.25">
      <c r="A1110" t="str">
        <f>T("842542")</f>
        <v>842542</v>
      </c>
      <c r="B1110" t="str">
        <f>T("Crics et vérins, hydrauliques (sauf élévateurs fixes des types utilisés dans les garages pour voitures)")</f>
        <v>Crics et vérins, hydrauliques (sauf élévateurs fixes des types utilisés dans les garages pour voitures)</v>
      </c>
    </row>
    <row r="1111" spans="1:4" x14ac:dyDescent="0.25">
      <c r="A1111" t="str">
        <f>T("   ZZZ_Monde")</f>
        <v xml:space="preserve">   ZZZ_Monde</v>
      </c>
      <c r="B1111" t="str">
        <f>T("   ZZZ_Monde")</f>
        <v xml:space="preserve">   ZZZ_Monde</v>
      </c>
      <c r="C1111">
        <v>61004</v>
      </c>
      <c r="D1111">
        <v>12</v>
      </c>
    </row>
    <row r="1112" spans="1:4" x14ac:dyDescent="0.25">
      <c r="A1112" t="str">
        <f>T("   GH")</f>
        <v xml:space="preserve">   GH</v>
      </c>
      <c r="B1112" t="str">
        <f>T("   Ghana")</f>
        <v xml:space="preserve">   Ghana</v>
      </c>
      <c r="C1112">
        <v>61004</v>
      </c>
      <c r="D1112">
        <v>12</v>
      </c>
    </row>
    <row r="1113" spans="1:4" x14ac:dyDescent="0.25">
      <c r="A1113" t="str">
        <f>T("842620")</f>
        <v>842620</v>
      </c>
      <c r="B1113" t="str">
        <f>T("Grues à tour")</f>
        <v>Grues à tour</v>
      </c>
    </row>
    <row r="1114" spans="1:4" x14ac:dyDescent="0.25">
      <c r="A1114" t="str">
        <f>T("   ZZZ_Monde")</f>
        <v xml:space="preserve">   ZZZ_Monde</v>
      </c>
      <c r="B1114" t="str">
        <f>T("   ZZZ_Monde")</f>
        <v xml:space="preserve">   ZZZ_Monde</v>
      </c>
      <c r="C1114">
        <v>13000000</v>
      </c>
      <c r="D1114">
        <v>22000</v>
      </c>
    </row>
    <row r="1115" spans="1:4" x14ac:dyDescent="0.25">
      <c r="A1115" t="str">
        <f>T("   GH")</f>
        <v xml:space="preserve">   GH</v>
      </c>
      <c r="B1115" t="str">
        <f>T("   Ghana")</f>
        <v xml:space="preserve">   Ghana</v>
      </c>
      <c r="C1115">
        <v>13000000</v>
      </c>
      <c r="D1115">
        <v>22000</v>
      </c>
    </row>
    <row r="1116" spans="1:4" x14ac:dyDescent="0.25">
      <c r="A1116" t="str">
        <f>T("842630")</f>
        <v>842630</v>
      </c>
      <c r="B1116" t="str">
        <f>T("Grues sur portiques")</f>
        <v>Grues sur portiques</v>
      </c>
    </row>
    <row r="1117" spans="1:4" x14ac:dyDescent="0.25">
      <c r="A1117" t="str">
        <f>T("   ZZZ_Monde")</f>
        <v xml:space="preserve">   ZZZ_Monde</v>
      </c>
      <c r="B1117" t="str">
        <f>T("   ZZZ_Monde")</f>
        <v xml:space="preserve">   ZZZ_Monde</v>
      </c>
      <c r="C1117">
        <v>129449114</v>
      </c>
      <c r="D1117">
        <v>41222</v>
      </c>
    </row>
    <row r="1118" spans="1:4" x14ac:dyDescent="0.25">
      <c r="A1118" t="str">
        <f>T("   IT")</f>
        <v xml:space="preserve">   IT</v>
      </c>
      <c r="B1118" t="str">
        <f>T("   Italie")</f>
        <v xml:space="preserve">   Italie</v>
      </c>
      <c r="C1118">
        <v>129449114</v>
      </c>
      <c r="D1118">
        <v>41222</v>
      </c>
    </row>
    <row r="1119" spans="1:4" x14ac:dyDescent="0.25">
      <c r="A1119" t="str">
        <f>T("842649")</f>
        <v>842649</v>
      </c>
      <c r="B1119" t="str">
        <f>T("Bigues et chariots-grues et appareils autopropulsés (autres que sur pneumatiques et sauf chariots-cavaliers)")</f>
        <v>Bigues et chariots-grues et appareils autopropulsés (autres que sur pneumatiques et sauf chariots-cavaliers)</v>
      </c>
    </row>
    <row r="1120" spans="1:4" x14ac:dyDescent="0.25">
      <c r="A1120" t="str">
        <f>T("   ZZZ_Monde")</f>
        <v xml:space="preserve">   ZZZ_Monde</v>
      </c>
      <c r="B1120" t="str">
        <f>T("   ZZZ_Monde")</f>
        <v xml:space="preserve">   ZZZ_Monde</v>
      </c>
      <c r="C1120">
        <v>649963214</v>
      </c>
      <c r="D1120">
        <v>100000</v>
      </c>
    </row>
    <row r="1121" spans="1:4" x14ac:dyDescent="0.25">
      <c r="A1121" t="str">
        <f>T("   FR")</f>
        <v xml:space="preserve">   FR</v>
      </c>
      <c r="B1121" t="str">
        <f>T("   France")</f>
        <v xml:space="preserve">   France</v>
      </c>
      <c r="C1121">
        <v>649963214</v>
      </c>
      <c r="D1121">
        <v>100000</v>
      </c>
    </row>
    <row r="1122" spans="1:4" x14ac:dyDescent="0.25">
      <c r="A1122" t="str">
        <f>T("842790")</f>
        <v>842790</v>
      </c>
      <c r="B1122" t="str">
        <f>T("Chariots de manutention munis d'un dispositif de levage mais non autopropulsés")</f>
        <v>Chariots de manutention munis d'un dispositif de levage mais non autopropulsés</v>
      </c>
    </row>
    <row r="1123" spans="1:4" x14ac:dyDescent="0.25">
      <c r="A1123" t="str">
        <f>T("   ZZZ_Monde")</f>
        <v xml:space="preserve">   ZZZ_Monde</v>
      </c>
      <c r="B1123" t="str">
        <f>T("   ZZZ_Monde")</f>
        <v xml:space="preserve">   ZZZ_Monde</v>
      </c>
      <c r="C1123">
        <v>27262135</v>
      </c>
      <c r="D1123">
        <v>26531</v>
      </c>
    </row>
    <row r="1124" spans="1:4" x14ac:dyDescent="0.25">
      <c r="A1124" t="str">
        <f>T("   GH")</f>
        <v xml:space="preserve">   GH</v>
      </c>
      <c r="B1124" t="str">
        <f>T("   Ghana")</f>
        <v xml:space="preserve">   Ghana</v>
      </c>
      <c r="C1124">
        <v>7262135</v>
      </c>
      <c r="D1124">
        <v>8531</v>
      </c>
    </row>
    <row r="1125" spans="1:4" x14ac:dyDescent="0.25">
      <c r="A1125" t="str">
        <f>T("   TG")</f>
        <v xml:space="preserve">   TG</v>
      </c>
      <c r="B1125" t="str">
        <f>T("   Togo")</f>
        <v xml:space="preserve">   Togo</v>
      </c>
      <c r="C1125">
        <v>20000000</v>
      </c>
      <c r="D1125">
        <v>18000</v>
      </c>
    </row>
    <row r="1126" spans="1:4" x14ac:dyDescent="0.25">
      <c r="A1126" t="str">
        <f>T("842820")</f>
        <v>842820</v>
      </c>
      <c r="B1126" t="str">
        <f>T("Appareils élévateurs ou transporteurs, pneumatiques")</f>
        <v>Appareils élévateurs ou transporteurs, pneumatiques</v>
      </c>
    </row>
    <row r="1127" spans="1:4" x14ac:dyDescent="0.25">
      <c r="A1127" t="str">
        <f>T("   ZZZ_Monde")</f>
        <v xml:space="preserve">   ZZZ_Monde</v>
      </c>
      <c r="B1127" t="str">
        <f>T("   ZZZ_Monde")</f>
        <v xml:space="preserve">   ZZZ_Monde</v>
      </c>
      <c r="C1127">
        <v>974768</v>
      </c>
      <c r="D1127">
        <v>8131</v>
      </c>
    </row>
    <row r="1128" spans="1:4" x14ac:dyDescent="0.25">
      <c r="A1128" t="str">
        <f>T("   GN")</f>
        <v xml:space="preserve">   GN</v>
      </c>
      <c r="B1128" t="str">
        <f>T("   Guinée")</f>
        <v xml:space="preserve">   Guinée</v>
      </c>
      <c r="C1128">
        <v>524768</v>
      </c>
      <c r="D1128">
        <v>4431</v>
      </c>
    </row>
    <row r="1129" spans="1:4" x14ac:dyDescent="0.25">
      <c r="A1129" t="str">
        <f>T("   TG")</f>
        <v xml:space="preserve">   TG</v>
      </c>
      <c r="B1129" t="str">
        <f>T("   Togo")</f>
        <v xml:space="preserve">   Togo</v>
      </c>
      <c r="C1129">
        <v>450000</v>
      </c>
      <c r="D1129">
        <v>3700</v>
      </c>
    </row>
    <row r="1130" spans="1:4" x14ac:dyDescent="0.25">
      <c r="A1130" t="str">
        <f>T("842831")</f>
        <v>842831</v>
      </c>
      <c r="B1130" t="str">
        <f>T("Appareils élévateurs, transporteurs ou convoyeurs pour marchandises, à action continue, spécialement conçus pour mines au fond ou autres travaux souterrains (à l'excl. des appareils élévateurs ou transporteurs pneumatiques)")</f>
        <v>Appareils élévateurs, transporteurs ou convoyeurs pour marchandises, à action continue, spécialement conçus pour mines au fond ou autres travaux souterrains (à l'excl. des appareils élévateurs ou transporteurs pneumatiques)</v>
      </c>
    </row>
    <row r="1131" spans="1:4" x14ac:dyDescent="0.25">
      <c r="A1131" t="str">
        <f>T("   ZZZ_Monde")</f>
        <v xml:space="preserve">   ZZZ_Monde</v>
      </c>
      <c r="B1131" t="str">
        <f>T("   ZZZ_Monde")</f>
        <v xml:space="preserve">   ZZZ_Monde</v>
      </c>
      <c r="C1131">
        <v>4000000</v>
      </c>
      <c r="D1131">
        <v>8480</v>
      </c>
    </row>
    <row r="1132" spans="1:4" x14ac:dyDescent="0.25">
      <c r="A1132" t="str">
        <f>T("   TG")</f>
        <v xml:space="preserve">   TG</v>
      </c>
      <c r="B1132" t="str">
        <f>T("   Togo")</f>
        <v xml:space="preserve">   Togo</v>
      </c>
      <c r="C1132">
        <v>4000000</v>
      </c>
      <c r="D1132">
        <v>8480</v>
      </c>
    </row>
    <row r="1133" spans="1:4" x14ac:dyDescent="0.25">
      <c r="A1133" t="str">
        <f>T("842839")</f>
        <v>842839</v>
      </c>
      <c r="B1133"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134" spans="1:4" x14ac:dyDescent="0.25">
      <c r="A1134" t="str">
        <f>T("   ZZZ_Monde")</f>
        <v xml:space="preserve">   ZZZ_Monde</v>
      </c>
      <c r="B1134" t="str">
        <f>T("   ZZZ_Monde")</f>
        <v xml:space="preserve">   ZZZ_Monde</v>
      </c>
      <c r="C1134">
        <v>6900000</v>
      </c>
      <c r="D1134">
        <v>23910</v>
      </c>
    </row>
    <row r="1135" spans="1:4" x14ac:dyDescent="0.25">
      <c r="A1135" t="str">
        <f>T("   TG")</f>
        <v xml:space="preserve">   TG</v>
      </c>
      <c r="B1135" t="str">
        <f>T("   Togo")</f>
        <v xml:space="preserve">   Togo</v>
      </c>
      <c r="C1135">
        <v>6900000</v>
      </c>
      <c r="D1135">
        <v>23910</v>
      </c>
    </row>
    <row r="1136" spans="1:4" x14ac:dyDescent="0.25">
      <c r="A1136" t="str">
        <f>T("842911")</f>
        <v>842911</v>
      </c>
      <c r="B1136" t="str">
        <f>T("Bouteurs 'bulldozers' et bouteurs biais 'angledozers', à chenilles")</f>
        <v>Bouteurs 'bulldozers' et bouteurs biais 'angledozers', à chenilles</v>
      </c>
    </row>
    <row r="1137" spans="1:4" x14ac:dyDescent="0.25">
      <c r="A1137" t="str">
        <f>T("   ZZZ_Monde")</f>
        <v xml:space="preserve">   ZZZ_Monde</v>
      </c>
      <c r="B1137" t="str">
        <f>T("   ZZZ_Monde")</f>
        <v xml:space="preserve">   ZZZ_Monde</v>
      </c>
      <c r="C1137">
        <v>440132700</v>
      </c>
      <c r="D1137">
        <v>199126</v>
      </c>
    </row>
    <row r="1138" spans="1:4" x14ac:dyDescent="0.25">
      <c r="A1138" t="str">
        <f>T("   GA")</f>
        <v xml:space="preserve">   GA</v>
      </c>
      <c r="B1138" t="str">
        <f>T("   Gabon")</f>
        <v xml:space="preserve">   Gabon</v>
      </c>
      <c r="C1138">
        <v>270000000</v>
      </c>
      <c r="D1138">
        <v>64000</v>
      </c>
    </row>
    <row r="1139" spans="1:4" x14ac:dyDescent="0.25">
      <c r="A1139" t="str">
        <f>T("   MA")</f>
        <v xml:space="preserve">   MA</v>
      </c>
      <c r="B1139" t="str">
        <f>T("   Maroc")</f>
        <v xml:space="preserve">   Maroc</v>
      </c>
      <c r="C1139">
        <v>150000000</v>
      </c>
      <c r="D1139">
        <v>38126</v>
      </c>
    </row>
    <row r="1140" spans="1:4" x14ac:dyDescent="0.25">
      <c r="A1140" t="str">
        <f>T("   NG")</f>
        <v xml:space="preserve">   NG</v>
      </c>
      <c r="B1140" t="str">
        <f>T("   Nigéria")</f>
        <v xml:space="preserve">   Nigéria</v>
      </c>
      <c r="C1140">
        <v>20132700</v>
      </c>
      <c r="D1140">
        <v>97000</v>
      </c>
    </row>
    <row r="1141" spans="1:4" x14ac:dyDescent="0.25">
      <c r="A1141" t="str">
        <f>T("842919")</f>
        <v>842919</v>
      </c>
      <c r="B1141" t="str">
        <f>T("Bouteurs 'bulldozers' et bouteurs biais 'angledozers', sur roues")</f>
        <v>Bouteurs 'bulldozers' et bouteurs biais 'angledozers', sur roues</v>
      </c>
    </row>
    <row r="1142" spans="1:4" x14ac:dyDescent="0.25">
      <c r="A1142" t="str">
        <f>T("   ZZZ_Monde")</f>
        <v xml:space="preserve">   ZZZ_Monde</v>
      </c>
      <c r="B1142" t="str">
        <f>T("   ZZZ_Monde")</f>
        <v xml:space="preserve">   ZZZ_Monde</v>
      </c>
      <c r="C1142">
        <v>10648227</v>
      </c>
      <c r="D1142">
        <v>24500</v>
      </c>
    </row>
    <row r="1143" spans="1:4" x14ac:dyDescent="0.25">
      <c r="A1143" t="str">
        <f>T("   BE")</f>
        <v xml:space="preserve">   BE</v>
      </c>
      <c r="B1143" t="str">
        <f>T("   Belgique")</f>
        <v xml:space="preserve">   Belgique</v>
      </c>
      <c r="C1143">
        <v>4416607</v>
      </c>
      <c r="D1143">
        <v>18500</v>
      </c>
    </row>
    <row r="1144" spans="1:4" x14ac:dyDescent="0.25">
      <c r="A1144" t="str">
        <f>T("   CI")</f>
        <v xml:space="preserve">   CI</v>
      </c>
      <c r="B1144" t="str">
        <f>T("   Côte d'Ivoire")</f>
        <v xml:space="preserve">   Côte d'Ivoire</v>
      </c>
      <c r="C1144">
        <v>6231620</v>
      </c>
      <c r="D1144">
        <v>6000</v>
      </c>
    </row>
    <row r="1145" spans="1:4" x14ac:dyDescent="0.25">
      <c r="A1145" t="str">
        <f>T("842920")</f>
        <v>842920</v>
      </c>
      <c r="B1145" t="str">
        <f>T("Niveleuses autopropulsées")</f>
        <v>Niveleuses autopropulsées</v>
      </c>
    </row>
    <row r="1146" spans="1:4" x14ac:dyDescent="0.25">
      <c r="A1146" t="str">
        <f>T("   ZZZ_Monde")</f>
        <v xml:space="preserve">   ZZZ_Monde</v>
      </c>
      <c r="B1146" t="str">
        <f>T("   ZZZ_Monde")</f>
        <v xml:space="preserve">   ZZZ_Monde</v>
      </c>
      <c r="C1146">
        <v>209333333</v>
      </c>
      <c r="D1146">
        <v>105443</v>
      </c>
    </row>
    <row r="1147" spans="1:4" x14ac:dyDescent="0.25">
      <c r="A1147" t="str">
        <f>T("   GA")</f>
        <v xml:space="preserve">   GA</v>
      </c>
      <c r="B1147" t="str">
        <f>T("   Gabon")</f>
        <v xml:space="preserve">   Gabon</v>
      </c>
      <c r="C1147">
        <v>105000000</v>
      </c>
      <c r="D1147">
        <v>31401</v>
      </c>
    </row>
    <row r="1148" spans="1:4" x14ac:dyDescent="0.25">
      <c r="A1148" t="str">
        <f>T("   ML")</f>
        <v xml:space="preserve">   ML</v>
      </c>
      <c r="B1148" t="str">
        <f>T("   Mali")</f>
        <v xml:space="preserve">   Mali</v>
      </c>
      <c r="C1148">
        <v>64333333</v>
      </c>
      <c r="D1148">
        <v>38586</v>
      </c>
    </row>
    <row r="1149" spans="1:4" x14ac:dyDescent="0.25">
      <c r="A1149" t="str">
        <f>T("   NL")</f>
        <v xml:space="preserve">   NL</v>
      </c>
      <c r="B1149" t="str">
        <f>T("   Pays-bas")</f>
        <v xml:space="preserve">   Pays-bas</v>
      </c>
      <c r="C1149">
        <v>40000000</v>
      </c>
      <c r="D1149">
        <v>35456</v>
      </c>
    </row>
    <row r="1150" spans="1:4" x14ac:dyDescent="0.25">
      <c r="A1150" t="str">
        <f>T("842940")</f>
        <v>842940</v>
      </c>
      <c r="B1150" t="str">
        <f>T("Rouleaux compresseurs et autres compacteuses, autopropulsés")</f>
        <v>Rouleaux compresseurs et autres compacteuses, autopropulsés</v>
      </c>
    </row>
    <row r="1151" spans="1:4" x14ac:dyDescent="0.25">
      <c r="A1151" t="str">
        <f>T("   ZZZ_Monde")</f>
        <v xml:space="preserve">   ZZZ_Monde</v>
      </c>
      <c r="B1151" t="str">
        <f>T("   ZZZ_Monde")</f>
        <v xml:space="preserve">   ZZZ_Monde</v>
      </c>
      <c r="C1151">
        <v>227640104</v>
      </c>
      <c r="D1151">
        <v>153260</v>
      </c>
    </row>
    <row r="1152" spans="1:4" x14ac:dyDescent="0.25">
      <c r="A1152" t="str">
        <f>T("   BE")</f>
        <v xml:space="preserve">   BE</v>
      </c>
      <c r="B1152" t="str">
        <f>T("   Belgique")</f>
        <v xml:space="preserve">   Belgique</v>
      </c>
      <c r="C1152">
        <v>26454381</v>
      </c>
      <c r="D1152">
        <v>18600</v>
      </c>
    </row>
    <row r="1153" spans="1:4" x14ac:dyDescent="0.25">
      <c r="A1153" t="str">
        <f>T("   GA")</f>
        <v xml:space="preserve">   GA</v>
      </c>
      <c r="B1153" t="str">
        <f>T("   Gabon")</f>
        <v xml:space="preserve">   Gabon</v>
      </c>
      <c r="C1153">
        <v>35000000</v>
      </c>
      <c r="D1153">
        <v>2000</v>
      </c>
    </row>
    <row r="1154" spans="1:4" x14ac:dyDescent="0.25">
      <c r="A1154" t="str">
        <f>T("   MA")</f>
        <v xml:space="preserve">   MA</v>
      </c>
      <c r="B1154" t="str">
        <f>T("   Maroc")</f>
        <v xml:space="preserve">   Maroc</v>
      </c>
      <c r="C1154">
        <v>105000000</v>
      </c>
      <c r="D1154">
        <v>44831</v>
      </c>
    </row>
    <row r="1155" spans="1:4" x14ac:dyDescent="0.25">
      <c r="A1155" t="str">
        <f>T("   ML")</f>
        <v xml:space="preserve">   ML</v>
      </c>
      <c r="B1155" t="str">
        <f>T("   Mali")</f>
        <v xml:space="preserve">   Mali</v>
      </c>
      <c r="C1155">
        <v>32085723</v>
      </c>
      <c r="D1155">
        <v>40879</v>
      </c>
    </row>
    <row r="1156" spans="1:4" x14ac:dyDescent="0.25">
      <c r="A1156" t="str">
        <f>T("   TG")</f>
        <v xml:space="preserve">   TG</v>
      </c>
      <c r="B1156" t="str">
        <f>T("   Togo")</f>
        <v xml:space="preserve">   Togo</v>
      </c>
      <c r="C1156">
        <v>29100000</v>
      </c>
      <c r="D1156">
        <v>46950</v>
      </c>
    </row>
    <row r="1157" spans="1:4" x14ac:dyDescent="0.25">
      <c r="A1157" t="str">
        <f>T("842951")</f>
        <v>842951</v>
      </c>
      <c r="B1157" t="str">
        <f>T("Chargeuses et chargeuses-pelleteuses, à chargement frontal, autopropulsées")</f>
        <v>Chargeuses et chargeuses-pelleteuses, à chargement frontal, autopropulsées</v>
      </c>
    </row>
    <row r="1158" spans="1:4" x14ac:dyDescent="0.25">
      <c r="A1158" t="str">
        <f>T("   ZZZ_Monde")</f>
        <v xml:space="preserve">   ZZZ_Monde</v>
      </c>
      <c r="B1158" t="str">
        <f>T("   ZZZ_Monde")</f>
        <v xml:space="preserve">   ZZZ_Monde</v>
      </c>
      <c r="C1158">
        <v>270212256</v>
      </c>
      <c r="D1158">
        <v>145473</v>
      </c>
    </row>
    <row r="1159" spans="1:4" x14ac:dyDescent="0.25">
      <c r="A1159" t="str">
        <f>T("   AE")</f>
        <v xml:space="preserve">   AE</v>
      </c>
      <c r="B1159" t="str">
        <f>T("   Emirats Arabes Unis")</f>
        <v xml:space="preserve">   Emirats Arabes Unis</v>
      </c>
      <c r="C1159">
        <v>60000000</v>
      </c>
      <c r="D1159">
        <v>47000</v>
      </c>
    </row>
    <row r="1160" spans="1:4" x14ac:dyDescent="0.25">
      <c r="A1160" t="str">
        <f>T("   BF")</f>
        <v xml:space="preserve">   BF</v>
      </c>
      <c r="B1160" t="str">
        <f>T("   Burkina Faso")</f>
        <v xml:space="preserve">   Burkina Faso</v>
      </c>
      <c r="C1160">
        <v>13100000</v>
      </c>
      <c r="D1160">
        <v>3091</v>
      </c>
    </row>
    <row r="1161" spans="1:4" x14ac:dyDescent="0.25">
      <c r="A1161" t="str">
        <f>T("   GA")</f>
        <v xml:space="preserve">   GA</v>
      </c>
      <c r="B1161" t="str">
        <f>T("   Gabon")</f>
        <v xml:space="preserve">   Gabon</v>
      </c>
      <c r="C1161">
        <v>95000000</v>
      </c>
      <c r="D1161">
        <v>40342</v>
      </c>
    </row>
    <row r="1162" spans="1:4" x14ac:dyDescent="0.25">
      <c r="A1162" t="str">
        <f>T("   ML")</f>
        <v xml:space="preserve">   ML</v>
      </c>
      <c r="B1162" t="str">
        <f>T("   Mali")</f>
        <v xml:space="preserve">   Mali</v>
      </c>
      <c r="C1162">
        <v>62112256</v>
      </c>
      <c r="D1162">
        <v>18200</v>
      </c>
    </row>
    <row r="1163" spans="1:4" x14ac:dyDescent="0.25">
      <c r="A1163" t="str">
        <f>T("   NL")</f>
        <v xml:space="preserve">   NL</v>
      </c>
      <c r="B1163" t="str">
        <f>T("   Pays-bas")</f>
        <v xml:space="preserve">   Pays-bas</v>
      </c>
      <c r="C1163">
        <v>15000000</v>
      </c>
      <c r="D1163">
        <v>18840</v>
      </c>
    </row>
    <row r="1164" spans="1:4" x14ac:dyDescent="0.25">
      <c r="A1164" t="str">
        <f>T("   TG")</f>
        <v xml:space="preserve">   TG</v>
      </c>
      <c r="B1164" t="str">
        <f>T("   Togo")</f>
        <v xml:space="preserve">   Togo</v>
      </c>
      <c r="C1164">
        <v>25000000</v>
      </c>
      <c r="D1164">
        <v>18000</v>
      </c>
    </row>
    <row r="1165" spans="1:4" x14ac:dyDescent="0.25">
      <c r="A1165" t="str">
        <f>T("842959")</f>
        <v>842959</v>
      </c>
      <c r="B1165"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166" spans="1:4" x14ac:dyDescent="0.25">
      <c r="A1166" t="str">
        <f>T("   ZZZ_Monde")</f>
        <v xml:space="preserve">   ZZZ_Monde</v>
      </c>
      <c r="B1166" t="str">
        <f>T("   ZZZ_Monde")</f>
        <v xml:space="preserve">   ZZZ_Monde</v>
      </c>
      <c r="C1166">
        <v>1333611800</v>
      </c>
      <c r="D1166">
        <v>976275</v>
      </c>
    </row>
    <row r="1167" spans="1:4" x14ac:dyDescent="0.25">
      <c r="A1167" t="str">
        <f>T("   BF")</f>
        <v xml:space="preserve">   BF</v>
      </c>
      <c r="B1167" t="str">
        <f>T("   Burkina Faso")</f>
        <v xml:space="preserve">   Burkina Faso</v>
      </c>
      <c r="C1167">
        <v>216250000</v>
      </c>
      <c r="D1167">
        <v>137000</v>
      </c>
    </row>
    <row r="1168" spans="1:4" x14ac:dyDescent="0.25">
      <c r="A1168" t="str">
        <f>T("   CI")</f>
        <v xml:space="preserve">   CI</v>
      </c>
      <c r="B1168" t="str">
        <f>T("   Côte d'Ivoire")</f>
        <v xml:space="preserve">   Côte d'Ivoire</v>
      </c>
      <c r="C1168">
        <v>8000000</v>
      </c>
      <c r="D1168">
        <v>9600</v>
      </c>
    </row>
    <row r="1169" spans="1:4" x14ac:dyDescent="0.25">
      <c r="A1169" t="str">
        <f>T("   CN")</f>
        <v xml:space="preserve">   CN</v>
      </c>
      <c r="B1169" t="str">
        <f>T("   Chine")</f>
        <v xml:space="preserve">   Chine</v>
      </c>
      <c r="C1169">
        <v>405340538</v>
      </c>
      <c r="D1169">
        <v>119800</v>
      </c>
    </row>
    <row r="1170" spans="1:4" x14ac:dyDescent="0.25">
      <c r="A1170" t="str">
        <f>T("   GA")</f>
        <v xml:space="preserve">   GA</v>
      </c>
      <c r="B1170" t="str">
        <f>T("   Gabon")</f>
        <v xml:space="preserve">   Gabon</v>
      </c>
      <c r="C1170">
        <v>28686880</v>
      </c>
      <c r="D1170">
        <v>178502</v>
      </c>
    </row>
    <row r="1171" spans="1:4" x14ac:dyDescent="0.25">
      <c r="A1171" t="str">
        <f>T("   GN")</f>
        <v xml:space="preserve">   GN</v>
      </c>
      <c r="B1171" t="str">
        <f>T("   Guinée")</f>
        <v xml:space="preserve">   Guinée</v>
      </c>
      <c r="C1171">
        <v>3866852</v>
      </c>
      <c r="D1171">
        <v>114000</v>
      </c>
    </row>
    <row r="1172" spans="1:4" x14ac:dyDescent="0.25">
      <c r="A1172" t="str">
        <f>T("   MA")</f>
        <v xml:space="preserve">   MA</v>
      </c>
      <c r="B1172" t="str">
        <f>T("   Maroc")</f>
        <v xml:space="preserve">   Maroc</v>
      </c>
      <c r="C1172">
        <v>100000000</v>
      </c>
      <c r="D1172">
        <v>70000</v>
      </c>
    </row>
    <row r="1173" spans="1:4" x14ac:dyDescent="0.25">
      <c r="A1173" t="str">
        <f>T("   ML")</f>
        <v xml:space="preserve">   ML</v>
      </c>
      <c r="B1173" t="str">
        <f>T("   Mali")</f>
        <v xml:space="preserve">   Mali</v>
      </c>
      <c r="C1173">
        <v>152353320</v>
      </c>
      <c r="D1173">
        <v>58800</v>
      </c>
    </row>
    <row r="1174" spans="1:4" x14ac:dyDescent="0.25">
      <c r="A1174" t="str">
        <f>T("   NG")</f>
        <v xml:space="preserve">   NG</v>
      </c>
      <c r="B1174" t="str">
        <f>T("   Nigéria")</f>
        <v xml:space="preserve">   Nigéria</v>
      </c>
      <c r="C1174">
        <v>154350700</v>
      </c>
      <c r="D1174">
        <v>125573</v>
      </c>
    </row>
    <row r="1175" spans="1:4" x14ac:dyDescent="0.25">
      <c r="A1175" t="str">
        <f>T("   NL")</f>
        <v xml:space="preserve">   NL</v>
      </c>
      <c r="B1175" t="str">
        <f>T("   Pays-bas")</f>
        <v xml:space="preserve">   Pays-bas</v>
      </c>
      <c r="C1175">
        <v>134307810</v>
      </c>
      <c r="D1175">
        <v>87000</v>
      </c>
    </row>
    <row r="1176" spans="1:4" x14ac:dyDescent="0.25">
      <c r="A1176" t="str">
        <f>T("   TG")</f>
        <v xml:space="preserve">   TG</v>
      </c>
      <c r="B1176" t="str">
        <f>T("   Togo")</f>
        <v xml:space="preserve">   Togo</v>
      </c>
      <c r="C1176">
        <v>130455700</v>
      </c>
      <c r="D1176">
        <v>76000</v>
      </c>
    </row>
    <row r="1177" spans="1:4" x14ac:dyDescent="0.25">
      <c r="A1177" t="str">
        <f>T("843050")</f>
        <v>843050</v>
      </c>
      <c r="B1177" t="str">
        <f>T("Machines et appareils de terrassement, nivellement, décapage, excavation, compactage, extraction ou forage de la terre, des minéraux ou des minerais, autopropulsés, n.d.a.")</f>
        <v>Machines et appareils de terrassement, nivellement, décapage, excavation, compactage, extraction ou forage de la terre, des minéraux ou des minerais, autopropulsés, n.d.a.</v>
      </c>
    </row>
    <row r="1178" spans="1:4" x14ac:dyDescent="0.25">
      <c r="A1178" t="str">
        <f>T("   ZZZ_Monde")</f>
        <v xml:space="preserve">   ZZZ_Monde</v>
      </c>
      <c r="B1178" t="str">
        <f>T("   ZZZ_Monde")</f>
        <v xml:space="preserve">   ZZZ_Monde</v>
      </c>
      <c r="C1178">
        <v>8893520</v>
      </c>
      <c r="D1178">
        <v>3780</v>
      </c>
    </row>
    <row r="1179" spans="1:4" x14ac:dyDescent="0.25">
      <c r="A1179" t="str">
        <f>T("   TZ")</f>
        <v xml:space="preserve">   TZ</v>
      </c>
      <c r="B1179" t="str">
        <f>T("   Tanzanie")</f>
        <v xml:space="preserve">   Tanzanie</v>
      </c>
      <c r="C1179">
        <v>8893520</v>
      </c>
      <c r="D1179">
        <v>3780</v>
      </c>
    </row>
    <row r="1180" spans="1:4" x14ac:dyDescent="0.25">
      <c r="A1180" t="str">
        <f>T("843069")</f>
        <v>843069</v>
      </c>
      <c r="B1180" t="str">
        <f>T("Machines et appareils de terrassement, nivellement, décapage, excavation, compactage, extraction ou forage de la terre, des minéraux ou des minerais, non autopropulsés, n.d.a.")</f>
        <v>Machines et appareils de terrassement, nivellement, décapage, excavation, compactage, extraction ou forage de la terre, des minéraux ou des minerais, non autopropulsés, n.d.a.</v>
      </c>
    </row>
    <row r="1181" spans="1:4" x14ac:dyDescent="0.25">
      <c r="A1181" t="str">
        <f>T("   ZZZ_Monde")</f>
        <v xml:space="preserve">   ZZZ_Monde</v>
      </c>
      <c r="B1181" t="str">
        <f>T("   ZZZ_Monde")</f>
        <v xml:space="preserve">   ZZZ_Monde</v>
      </c>
      <c r="C1181">
        <v>293882948</v>
      </c>
      <c r="D1181">
        <v>261005</v>
      </c>
    </row>
    <row r="1182" spans="1:4" x14ac:dyDescent="0.25">
      <c r="A1182" t="str">
        <f>T("   FR")</f>
        <v xml:space="preserve">   FR</v>
      </c>
      <c r="B1182" t="str">
        <f>T("   France")</f>
        <v xml:space="preserve">   France</v>
      </c>
      <c r="C1182">
        <v>246654079</v>
      </c>
      <c r="D1182">
        <v>12606</v>
      </c>
    </row>
    <row r="1183" spans="1:4" x14ac:dyDescent="0.25">
      <c r="A1183" t="str">
        <f>T("   GA")</f>
        <v xml:space="preserve">   GA</v>
      </c>
      <c r="B1183" t="str">
        <f>T("   Gabon")</f>
        <v xml:space="preserve">   Gabon</v>
      </c>
      <c r="C1183">
        <v>9400000</v>
      </c>
      <c r="D1183">
        <v>76488</v>
      </c>
    </row>
    <row r="1184" spans="1:4" x14ac:dyDescent="0.25">
      <c r="A1184" t="str">
        <f>T("   GN")</f>
        <v xml:space="preserve">   GN</v>
      </c>
      <c r="B1184" t="str">
        <f>T("   Guinée")</f>
        <v xml:space="preserve">   Guinée</v>
      </c>
      <c r="C1184">
        <v>3112903</v>
      </c>
      <c r="D1184">
        <v>96650</v>
      </c>
    </row>
    <row r="1185" spans="1:4" x14ac:dyDescent="0.25">
      <c r="A1185" t="str">
        <f>T("   LB")</f>
        <v xml:space="preserve">   LB</v>
      </c>
      <c r="B1185" t="str">
        <f>T("   Liban")</f>
        <v xml:space="preserve">   Liban</v>
      </c>
      <c r="C1185">
        <v>6354743</v>
      </c>
      <c r="D1185">
        <v>10000</v>
      </c>
    </row>
    <row r="1186" spans="1:4" x14ac:dyDescent="0.25">
      <c r="A1186" t="str">
        <f>T("   NG")</f>
        <v xml:space="preserve">   NG</v>
      </c>
      <c r="B1186" t="str">
        <f>T("   Nigéria")</f>
        <v xml:space="preserve">   Nigéria</v>
      </c>
      <c r="C1186">
        <v>28361223</v>
      </c>
      <c r="D1186">
        <v>65261</v>
      </c>
    </row>
    <row r="1187" spans="1:4" x14ac:dyDescent="0.25">
      <c r="A1187" t="str">
        <f>T("843139")</f>
        <v>843139</v>
      </c>
      <c r="B1187" t="str">
        <f>T("Parties de machines et appareils du n° 8428, n.d.a.")</f>
        <v>Parties de machines et appareils du n° 8428, n.d.a.</v>
      </c>
    </row>
    <row r="1188" spans="1:4" x14ac:dyDescent="0.25">
      <c r="A1188" t="str">
        <f>T("   ZZZ_Monde")</f>
        <v xml:space="preserve">   ZZZ_Monde</v>
      </c>
      <c r="B1188" t="str">
        <f>T("   ZZZ_Monde")</f>
        <v xml:space="preserve">   ZZZ_Monde</v>
      </c>
      <c r="C1188">
        <v>8054960</v>
      </c>
      <c r="D1188">
        <v>26212</v>
      </c>
    </row>
    <row r="1189" spans="1:4" x14ac:dyDescent="0.25">
      <c r="A1189" t="str">
        <f>T("   GA")</f>
        <v xml:space="preserve">   GA</v>
      </c>
      <c r="B1189" t="str">
        <f>T("   Gabon")</f>
        <v xml:space="preserve">   Gabon</v>
      </c>
      <c r="C1189">
        <v>8054960</v>
      </c>
      <c r="D1189">
        <v>26212</v>
      </c>
    </row>
    <row r="1190" spans="1:4" x14ac:dyDescent="0.25">
      <c r="A1190" t="str">
        <f>T("843141")</f>
        <v>843141</v>
      </c>
      <c r="B1190" t="str">
        <f>T("Godets, bennes, bennes-preneuses, pelles, grappins et pinces pour machines et appareils du n° 8426, 8429 ou 8430")</f>
        <v>Godets, bennes, bennes-preneuses, pelles, grappins et pinces pour machines et appareils du n° 8426, 8429 ou 8430</v>
      </c>
    </row>
    <row r="1191" spans="1:4" x14ac:dyDescent="0.25">
      <c r="A1191" t="str">
        <f>T("   ZZZ_Monde")</f>
        <v xml:space="preserve">   ZZZ_Monde</v>
      </c>
      <c r="B1191" t="str">
        <f>T("   ZZZ_Monde")</f>
        <v xml:space="preserve">   ZZZ_Monde</v>
      </c>
      <c r="C1191">
        <v>45939424</v>
      </c>
      <c r="D1191">
        <v>38613</v>
      </c>
    </row>
    <row r="1192" spans="1:4" x14ac:dyDescent="0.25">
      <c r="A1192" t="str">
        <f>T("   FR")</f>
        <v xml:space="preserve">   FR</v>
      </c>
      <c r="B1192" t="str">
        <f>T("   France")</f>
        <v xml:space="preserve">   France</v>
      </c>
      <c r="C1192">
        <v>8631150</v>
      </c>
      <c r="D1192">
        <v>7490</v>
      </c>
    </row>
    <row r="1193" spans="1:4" x14ac:dyDescent="0.25">
      <c r="A1193" t="str">
        <f>T("   MA")</f>
        <v xml:space="preserve">   MA</v>
      </c>
      <c r="B1193" t="str">
        <f>T("   Maroc")</f>
        <v xml:space="preserve">   Maroc</v>
      </c>
      <c r="C1193">
        <v>22000000</v>
      </c>
      <c r="D1193">
        <v>3259</v>
      </c>
    </row>
    <row r="1194" spans="1:4" x14ac:dyDescent="0.25">
      <c r="A1194" t="str">
        <f>T("   NE")</f>
        <v xml:space="preserve">   NE</v>
      </c>
      <c r="B1194" t="str">
        <f>T("   Niger")</f>
        <v xml:space="preserve">   Niger</v>
      </c>
      <c r="C1194">
        <v>15308274</v>
      </c>
      <c r="D1194">
        <v>27864</v>
      </c>
    </row>
    <row r="1195" spans="1:4" x14ac:dyDescent="0.25">
      <c r="A1195" t="str">
        <f>T("843143")</f>
        <v>843143</v>
      </c>
      <c r="B1195" t="str">
        <f>T("Parties de machines de sondage ou de forage du n° 8430.41 ou 8430.49, n.d.a.")</f>
        <v>Parties de machines de sondage ou de forage du n° 8430.41 ou 8430.49, n.d.a.</v>
      </c>
    </row>
    <row r="1196" spans="1:4" x14ac:dyDescent="0.25">
      <c r="A1196" t="str">
        <f>T("   ZZZ_Monde")</f>
        <v xml:space="preserve">   ZZZ_Monde</v>
      </c>
      <c r="B1196" t="str">
        <f>T("   ZZZ_Monde")</f>
        <v xml:space="preserve">   ZZZ_Monde</v>
      </c>
      <c r="C1196">
        <v>15602009</v>
      </c>
      <c r="D1196">
        <v>50</v>
      </c>
    </row>
    <row r="1197" spans="1:4" x14ac:dyDescent="0.25">
      <c r="A1197" t="str">
        <f>T("   FR")</f>
        <v xml:space="preserve">   FR</v>
      </c>
      <c r="B1197" t="str">
        <f>T("   France")</f>
        <v xml:space="preserve">   France</v>
      </c>
      <c r="C1197">
        <v>15602009</v>
      </c>
      <c r="D1197">
        <v>50</v>
      </c>
    </row>
    <row r="1198" spans="1:4" x14ac:dyDescent="0.25">
      <c r="A1198" t="str">
        <f>T("843149")</f>
        <v>843149</v>
      </c>
      <c r="B1198" t="str">
        <f>T("Parties de machines et appareils du n° 8426, 8429 ou 8430, n.d.a.")</f>
        <v>Parties de machines et appareils du n° 8426, 8429 ou 8430, n.d.a.</v>
      </c>
    </row>
    <row r="1199" spans="1:4" x14ac:dyDescent="0.25">
      <c r="A1199" t="str">
        <f>T("   ZZZ_Monde")</f>
        <v xml:space="preserve">   ZZZ_Monde</v>
      </c>
      <c r="B1199" t="str">
        <f>T("   ZZZ_Monde")</f>
        <v xml:space="preserve">   ZZZ_Monde</v>
      </c>
      <c r="C1199">
        <v>86335238</v>
      </c>
      <c r="D1199">
        <v>62712</v>
      </c>
    </row>
    <row r="1200" spans="1:4" x14ac:dyDescent="0.25">
      <c r="A1200" t="str">
        <f>T("   BE")</f>
        <v xml:space="preserve">   BE</v>
      </c>
      <c r="B1200" t="str">
        <f>T("   Belgique")</f>
        <v xml:space="preserve">   Belgique</v>
      </c>
      <c r="C1200">
        <v>11925840</v>
      </c>
      <c r="D1200">
        <v>1015</v>
      </c>
    </row>
    <row r="1201" spans="1:4" x14ac:dyDescent="0.25">
      <c r="A1201" t="str">
        <f>T("   DE")</f>
        <v xml:space="preserve">   DE</v>
      </c>
      <c r="B1201" t="str">
        <f>T("   Allemagne")</f>
        <v xml:space="preserve">   Allemagne</v>
      </c>
      <c r="C1201">
        <v>16620059</v>
      </c>
      <c r="D1201">
        <v>1815</v>
      </c>
    </row>
    <row r="1202" spans="1:4" x14ac:dyDescent="0.25">
      <c r="A1202" t="str">
        <f>T("   FR")</f>
        <v xml:space="preserve">   FR</v>
      </c>
      <c r="B1202" t="str">
        <f>T("   France")</f>
        <v xml:space="preserve">   France</v>
      </c>
      <c r="C1202">
        <v>50483869</v>
      </c>
      <c r="D1202">
        <v>54470</v>
      </c>
    </row>
    <row r="1203" spans="1:4" x14ac:dyDescent="0.25">
      <c r="A1203" t="str">
        <f>T("   NG")</f>
        <v xml:space="preserve">   NG</v>
      </c>
      <c r="B1203" t="str">
        <f>T("   Nigéria")</f>
        <v xml:space="preserve">   Nigéria</v>
      </c>
      <c r="C1203">
        <v>6940470</v>
      </c>
      <c r="D1203">
        <v>5000</v>
      </c>
    </row>
    <row r="1204" spans="1:4" x14ac:dyDescent="0.25">
      <c r="A1204" t="str">
        <f>T("   TG")</f>
        <v xml:space="preserve">   TG</v>
      </c>
      <c r="B1204" t="str">
        <f>T("   Togo")</f>
        <v xml:space="preserve">   Togo</v>
      </c>
      <c r="C1204">
        <v>365000</v>
      </c>
      <c r="D1204">
        <v>412</v>
      </c>
    </row>
    <row r="1205" spans="1:4" x14ac:dyDescent="0.25">
      <c r="A1205" t="str">
        <f>T("843240")</f>
        <v>843240</v>
      </c>
      <c r="B1205" t="str">
        <f>T("ÉPANDEURS DE FUMIER ET DISTRIBUTEURS D'ENGRAIS POUR L'AGRICULTURE, LA SYLVICULTURE OU L'HORTICULTURE")</f>
        <v>ÉPANDEURS DE FUMIER ET DISTRIBUTEURS D'ENGRAIS POUR L'AGRICULTURE, LA SYLVICULTURE OU L'HORTICULTURE</v>
      </c>
    </row>
    <row r="1206" spans="1:4" x14ac:dyDescent="0.25">
      <c r="A1206" t="str">
        <f>T("   ZZZ_Monde")</f>
        <v xml:space="preserve">   ZZZ_Monde</v>
      </c>
      <c r="B1206" t="str">
        <f>T("   ZZZ_Monde")</f>
        <v xml:space="preserve">   ZZZ_Monde</v>
      </c>
      <c r="C1206">
        <v>825198</v>
      </c>
      <c r="D1206">
        <v>954</v>
      </c>
    </row>
    <row r="1207" spans="1:4" x14ac:dyDescent="0.25">
      <c r="A1207" t="str">
        <f>T("   GM")</f>
        <v xml:space="preserve">   GM</v>
      </c>
      <c r="B1207" t="str">
        <f>T("   Gambie")</f>
        <v xml:space="preserve">   Gambie</v>
      </c>
      <c r="C1207">
        <v>825198</v>
      </c>
      <c r="D1207">
        <v>954</v>
      </c>
    </row>
    <row r="1208" spans="1:4" x14ac:dyDescent="0.25">
      <c r="A1208" t="str">
        <f>T("843629")</f>
        <v>843629</v>
      </c>
      <c r="B1208" t="str">
        <f>T("Machines et appareils pour l'aviculture (sauf machines à trier les oeufs, machines à plumer du n° 8438 et sauf couveuses et éleveuses)")</f>
        <v>Machines et appareils pour l'aviculture (sauf machines à trier les oeufs, machines à plumer du n° 8438 et sauf couveuses et éleveuses)</v>
      </c>
    </row>
    <row r="1209" spans="1:4" x14ac:dyDescent="0.25">
      <c r="A1209" t="str">
        <f>T("   ZZZ_Monde")</f>
        <v xml:space="preserve">   ZZZ_Monde</v>
      </c>
      <c r="B1209" t="str">
        <f>T("   ZZZ_Monde")</f>
        <v xml:space="preserve">   ZZZ_Monde</v>
      </c>
      <c r="C1209">
        <v>4495000</v>
      </c>
      <c r="D1209">
        <v>1782</v>
      </c>
    </row>
    <row r="1210" spans="1:4" x14ac:dyDescent="0.25">
      <c r="A1210" t="str">
        <f>T("   LR")</f>
        <v xml:space="preserve">   LR</v>
      </c>
      <c r="B1210" t="str">
        <f>T("   Libéria")</f>
        <v xml:space="preserve">   Libéria</v>
      </c>
      <c r="C1210">
        <v>4495000</v>
      </c>
      <c r="D1210">
        <v>1782</v>
      </c>
    </row>
    <row r="1211" spans="1:4" x14ac:dyDescent="0.25">
      <c r="A1211" t="str">
        <f>T("843780")</f>
        <v>843780</v>
      </c>
      <c r="B1211" t="str">
        <f>T("Machines et appareils de minoterie ou pour traitement des céréales ou légumes secs (autres que les machines et appareils du type agricole, les installations de traitement thermique, essoreuses centrifuges, filtres à air ainsi que machines et appareils pou")</f>
        <v>Machines et appareils de minoterie ou pour traitement des céréales ou légumes secs (autres que les machines et appareils du type agricole, les installations de traitement thermique, essoreuses centrifuges, filtres à air ainsi que machines et appareils pou</v>
      </c>
    </row>
    <row r="1212" spans="1:4" x14ac:dyDescent="0.25">
      <c r="A1212" t="str">
        <f>T("   ZZZ_Monde")</f>
        <v xml:space="preserve">   ZZZ_Monde</v>
      </c>
      <c r="B1212" t="str">
        <f>T("   ZZZ_Monde")</f>
        <v xml:space="preserve">   ZZZ_Monde</v>
      </c>
      <c r="C1212">
        <v>460000</v>
      </c>
      <c r="D1212">
        <v>120</v>
      </c>
    </row>
    <row r="1213" spans="1:4" x14ac:dyDescent="0.25">
      <c r="A1213" t="str">
        <f>T("   GA")</f>
        <v xml:space="preserve">   GA</v>
      </c>
      <c r="B1213" t="str">
        <f>T("   Gabon")</f>
        <v xml:space="preserve">   Gabon</v>
      </c>
      <c r="C1213">
        <v>460000</v>
      </c>
      <c r="D1213">
        <v>120</v>
      </c>
    </row>
    <row r="1214" spans="1:4" x14ac:dyDescent="0.25">
      <c r="A1214" t="str">
        <f>T("843810")</f>
        <v>843810</v>
      </c>
      <c r="B1214" t="str">
        <f>T("Machines et appareils pour la fabrication industrielle des produits de boulangerie, pâtisserie ou biscuiterie ou pour la fabrication industrielle des pâtes alimentaires (sauf fours, appareils de séchage des pâtes alimentaires et machines à rouler la pâte)")</f>
        <v>Machines et appareils pour la fabrication industrielle des produits de boulangerie, pâtisserie ou biscuiterie ou pour la fabrication industrielle des pâtes alimentaires (sauf fours, appareils de séchage des pâtes alimentaires et machines à rouler la pâte)</v>
      </c>
    </row>
    <row r="1215" spans="1:4" x14ac:dyDescent="0.25">
      <c r="A1215" t="str">
        <f>T("   ZZZ_Monde")</f>
        <v xml:space="preserve">   ZZZ_Monde</v>
      </c>
      <c r="B1215" t="str">
        <f>T("   ZZZ_Monde")</f>
        <v xml:space="preserve">   ZZZ_Monde</v>
      </c>
      <c r="C1215">
        <v>3350000</v>
      </c>
      <c r="D1215">
        <v>17000</v>
      </c>
    </row>
    <row r="1216" spans="1:4" x14ac:dyDescent="0.25">
      <c r="A1216" t="str">
        <f>T("   SN")</f>
        <v xml:space="preserve">   SN</v>
      </c>
      <c r="B1216" t="str">
        <f>T("   Sénégal")</f>
        <v xml:space="preserve">   Sénégal</v>
      </c>
      <c r="C1216">
        <v>3350000</v>
      </c>
      <c r="D1216">
        <v>17000</v>
      </c>
    </row>
    <row r="1217" spans="1:4" x14ac:dyDescent="0.25">
      <c r="A1217" t="str">
        <f>T("844359")</f>
        <v>844359</v>
      </c>
      <c r="B1217"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218" spans="1:4" x14ac:dyDescent="0.25">
      <c r="A1218" t="str">
        <f>T("   ZZZ_Monde")</f>
        <v xml:space="preserve">   ZZZ_Monde</v>
      </c>
      <c r="B1218" t="str">
        <f>T("   ZZZ_Monde")</f>
        <v xml:space="preserve">   ZZZ_Monde</v>
      </c>
      <c r="C1218">
        <v>2700000</v>
      </c>
      <c r="D1218">
        <v>75.3</v>
      </c>
    </row>
    <row r="1219" spans="1:4" x14ac:dyDescent="0.25">
      <c r="A1219" t="str">
        <f>T("   BF")</f>
        <v xml:space="preserve">   BF</v>
      </c>
      <c r="B1219" t="str">
        <f>T("   Burkina Faso")</f>
        <v xml:space="preserve">   Burkina Faso</v>
      </c>
      <c r="C1219">
        <v>2700000</v>
      </c>
      <c r="D1219">
        <v>75.3</v>
      </c>
    </row>
    <row r="1220" spans="1:4" x14ac:dyDescent="0.25">
      <c r="A1220" t="str">
        <f>T("846090")</f>
        <v>846090</v>
      </c>
      <c r="B1220" t="str">
        <f>T("Machines à ébarber, meuler, polir ou à faire d'autres opérations de finissage, pour le travail des métaux (autres que les machines à rectifier dont le positionnement dans un des axes peut être réglé à au moins 0,01 mm près, autres qu'à commande numérique,")</f>
        <v>Machines à ébarber, meuler, polir ou à faire d'autres opérations de finissage, pour le travail des métaux (autres que les machines à rectifier dont le positionnement dans un des axes peut être réglé à au moins 0,01 mm près, autres qu'à commande numérique,</v>
      </c>
    </row>
    <row r="1221" spans="1:4" x14ac:dyDescent="0.25">
      <c r="A1221" t="str">
        <f>T("   ZZZ_Monde")</f>
        <v xml:space="preserve">   ZZZ_Monde</v>
      </c>
      <c r="B1221" t="str">
        <f>T("   ZZZ_Monde")</f>
        <v xml:space="preserve">   ZZZ_Monde</v>
      </c>
      <c r="C1221">
        <v>179077</v>
      </c>
      <c r="D1221">
        <v>34</v>
      </c>
    </row>
    <row r="1222" spans="1:4" x14ac:dyDescent="0.25">
      <c r="A1222" t="str">
        <f>T("   GH")</f>
        <v xml:space="preserve">   GH</v>
      </c>
      <c r="B1222" t="str">
        <f>T("   Ghana")</f>
        <v xml:space="preserve">   Ghana</v>
      </c>
      <c r="C1222">
        <v>179077</v>
      </c>
      <c r="D1222">
        <v>34</v>
      </c>
    </row>
    <row r="1223" spans="1:4" x14ac:dyDescent="0.25">
      <c r="A1223" t="str">
        <f>T("846120")</f>
        <v>846120</v>
      </c>
      <c r="B1223" t="str">
        <f>T("Etaux-limeurs et machines à mortaiser, pour le travail des métaux")</f>
        <v>Etaux-limeurs et machines à mortaiser, pour le travail des métaux</v>
      </c>
    </row>
    <row r="1224" spans="1:4" x14ac:dyDescent="0.25">
      <c r="A1224" t="str">
        <f>T("   ZZZ_Monde")</f>
        <v xml:space="preserve">   ZZZ_Monde</v>
      </c>
      <c r="B1224" t="str">
        <f>T("   ZZZ_Monde")</f>
        <v xml:space="preserve">   ZZZ_Monde</v>
      </c>
      <c r="C1224">
        <v>46573</v>
      </c>
      <c r="D1224">
        <v>9</v>
      </c>
    </row>
    <row r="1225" spans="1:4" x14ac:dyDescent="0.25">
      <c r="A1225" t="str">
        <f>T("   GH")</f>
        <v xml:space="preserve">   GH</v>
      </c>
      <c r="B1225" t="str">
        <f>T("   Ghana")</f>
        <v xml:space="preserve">   Ghana</v>
      </c>
      <c r="C1225">
        <v>46573</v>
      </c>
      <c r="D1225">
        <v>9</v>
      </c>
    </row>
    <row r="1226" spans="1:4" x14ac:dyDescent="0.25">
      <c r="A1226" t="str">
        <f>T("846190")</f>
        <v>846190</v>
      </c>
      <c r="B1226" t="str">
        <f>T("Machines à raboter et autres machines-outils travaillant par enlèvement de métal, n.d.a.")</f>
        <v>Machines à raboter et autres machines-outils travaillant par enlèvement de métal, n.d.a.</v>
      </c>
    </row>
    <row r="1227" spans="1:4" x14ac:dyDescent="0.25">
      <c r="A1227" t="str">
        <f>T("   ZZZ_Monde")</f>
        <v xml:space="preserve">   ZZZ_Monde</v>
      </c>
      <c r="B1227" t="str">
        <f>T("   ZZZ_Monde")</f>
        <v xml:space="preserve">   ZZZ_Monde</v>
      </c>
      <c r="C1227">
        <v>4000000</v>
      </c>
      <c r="D1227">
        <v>13780</v>
      </c>
    </row>
    <row r="1228" spans="1:4" x14ac:dyDescent="0.25">
      <c r="A1228" t="str">
        <f>T("   GA")</f>
        <v xml:space="preserve">   GA</v>
      </c>
      <c r="B1228" t="str">
        <f>T("   Gabon")</f>
        <v xml:space="preserve">   Gabon</v>
      </c>
      <c r="C1228">
        <v>4000000</v>
      </c>
      <c r="D1228">
        <v>13780</v>
      </c>
    </row>
    <row r="1229" spans="1:4" x14ac:dyDescent="0.25">
      <c r="A1229" t="str">
        <f>T("846390")</f>
        <v>846390</v>
      </c>
      <c r="B1229"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230" spans="1:4" x14ac:dyDescent="0.25">
      <c r="A1230" t="str">
        <f>T("   ZZZ_Monde")</f>
        <v xml:space="preserve">   ZZZ_Monde</v>
      </c>
      <c r="B1230" t="str">
        <f>T("   ZZZ_Monde")</f>
        <v xml:space="preserve">   ZZZ_Monde</v>
      </c>
      <c r="C1230">
        <v>17165453</v>
      </c>
      <c r="D1230">
        <v>597</v>
      </c>
    </row>
    <row r="1231" spans="1:4" x14ac:dyDescent="0.25">
      <c r="A1231" t="str">
        <f>T("   GH")</f>
        <v xml:space="preserve">   GH</v>
      </c>
      <c r="B1231" t="str">
        <f>T("   Ghana")</f>
        <v xml:space="preserve">   Ghana</v>
      </c>
      <c r="C1231">
        <v>195476</v>
      </c>
      <c r="D1231">
        <v>37</v>
      </c>
    </row>
    <row r="1232" spans="1:4" x14ac:dyDescent="0.25">
      <c r="A1232" t="str">
        <f>T("   TG")</f>
        <v xml:space="preserve">   TG</v>
      </c>
      <c r="B1232" t="str">
        <f>T("   Togo")</f>
        <v xml:space="preserve">   Togo</v>
      </c>
      <c r="C1232">
        <v>16969977</v>
      </c>
      <c r="D1232">
        <v>560</v>
      </c>
    </row>
    <row r="1233" spans="1:4" x14ac:dyDescent="0.25">
      <c r="A1233" t="str">
        <f>T("846599")</f>
        <v>846599</v>
      </c>
      <c r="B1233" t="str">
        <f>T("Machines-outils pour le travail du bois, des matières plastiques dures, etc. (sauf outillage à main, machines pouvant effectuer différents types d'opérations d'usinage sans changement d'outils entre les opérations; machines à scier, à dégauchir ou à rabot")</f>
        <v>Machines-outils pour le travail du bois, des matières plastiques dures, etc. (sauf outillage à main, machines pouvant effectuer différents types d'opérations d'usinage sans changement d'outils entre les opérations; machines à scier, à dégauchir ou à rabot</v>
      </c>
    </row>
    <row r="1234" spans="1:4" x14ac:dyDescent="0.25">
      <c r="A1234" t="str">
        <f>T("   ZZZ_Monde")</f>
        <v xml:space="preserve">   ZZZ_Monde</v>
      </c>
      <c r="B1234" t="str">
        <f>T("   ZZZ_Monde")</f>
        <v xml:space="preserve">   ZZZ_Monde</v>
      </c>
      <c r="C1234">
        <v>2296000</v>
      </c>
      <c r="D1234">
        <v>200</v>
      </c>
    </row>
    <row r="1235" spans="1:4" x14ac:dyDescent="0.25">
      <c r="A1235" t="str">
        <f>T("   TG")</f>
        <v xml:space="preserve">   TG</v>
      </c>
      <c r="B1235" t="str">
        <f>T("   Togo")</f>
        <v xml:space="preserve">   Togo</v>
      </c>
      <c r="C1235">
        <v>2296000</v>
      </c>
      <c r="D1235">
        <v>200</v>
      </c>
    </row>
    <row r="1236" spans="1:4" x14ac:dyDescent="0.25">
      <c r="A1236" t="str">
        <f>T("846810")</f>
        <v>846810</v>
      </c>
      <c r="B1236" t="str">
        <f>T("Chalumeaux guidés à la main pour le brasage ou le soudage aux gaz")</f>
        <v>Chalumeaux guidés à la main pour le brasage ou le soudage aux gaz</v>
      </c>
    </row>
    <row r="1237" spans="1:4" x14ac:dyDescent="0.25">
      <c r="A1237" t="str">
        <f>T("   ZZZ_Monde")</f>
        <v xml:space="preserve">   ZZZ_Monde</v>
      </c>
      <c r="B1237" t="str">
        <f>T("   ZZZ_Monde")</f>
        <v xml:space="preserve">   ZZZ_Monde</v>
      </c>
      <c r="C1237">
        <v>137752</v>
      </c>
      <c r="D1237">
        <v>26</v>
      </c>
    </row>
    <row r="1238" spans="1:4" x14ac:dyDescent="0.25">
      <c r="A1238" t="str">
        <f>T("   GH")</f>
        <v xml:space="preserve">   GH</v>
      </c>
      <c r="B1238" t="str">
        <f>T("   Ghana")</f>
        <v xml:space="preserve">   Ghana</v>
      </c>
      <c r="C1238">
        <v>137752</v>
      </c>
      <c r="D1238">
        <v>26</v>
      </c>
    </row>
    <row r="1239" spans="1:4" x14ac:dyDescent="0.25">
      <c r="A1239" t="str">
        <f>T("847030")</f>
        <v>847030</v>
      </c>
      <c r="B1239" t="str">
        <f>T("Machines à calculer autres qu'électroniques")</f>
        <v>Machines à calculer autres qu'électroniques</v>
      </c>
    </row>
    <row r="1240" spans="1:4" x14ac:dyDescent="0.25">
      <c r="A1240" t="str">
        <f>T("   ZZZ_Monde")</f>
        <v xml:space="preserve">   ZZZ_Monde</v>
      </c>
      <c r="B1240" t="str">
        <f>T("   ZZZ_Monde")</f>
        <v xml:space="preserve">   ZZZ_Monde</v>
      </c>
      <c r="C1240">
        <v>171206</v>
      </c>
      <c r="D1240">
        <v>16</v>
      </c>
    </row>
    <row r="1241" spans="1:4" x14ac:dyDescent="0.25">
      <c r="A1241" t="str">
        <f>T("   NG")</f>
        <v xml:space="preserve">   NG</v>
      </c>
      <c r="B1241" t="str">
        <f>T("   Nigéria")</f>
        <v xml:space="preserve">   Nigéria</v>
      </c>
      <c r="C1241">
        <v>171206</v>
      </c>
      <c r="D1241">
        <v>16</v>
      </c>
    </row>
    <row r="1242" spans="1:4" x14ac:dyDescent="0.25">
      <c r="A1242" t="str">
        <f>T("847170")</f>
        <v>847170</v>
      </c>
      <c r="B1242" t="str">
        <f>T("UNITÉS DE MÉMOIRE POUR MACHINES AUTOMATIQUES DE TRAITEMENT DE L'INFORMATION")</f>
        <v>UNITÉS DE MÉMOIRE POUR MACHINES AUTOMATIQUES DE TRAITEMENT DE L'INFORMATION</v>
      </c>
    </row>
    <row r="1243" spans="1:4" x14ac:dyDescent="0.25">
      <c r="A1243" t="str">
        <f>T("   ZZZ_Monde")</f>
        <v xml:space="preserve">   ZZZ_Monde</v>
      </c>
      <c r="B1243" t="str">
        <f>T("   ZZZ_Monde")</f>
        <v xml:space="preserve">   ZZZ_Monde</v>
      </c>
      <c r="C1243">
        <v>4257501</v>
      </c>
      <c r="D1243">
        <v>394</v>
      </c>
    </row>
    <row r="1244" spans="1:4" x14ac:dyDescent="0.25">
      <c r="A1244" t="str">
        <f>T("   NG")</f>
        <v xml:space="preserve">   NG</v>
      </c>
      <c r="B1244" t="str">
        <f>T("   Nigéria")</f>
        <v xml:space="preserve">   Nigéria</v>
      </c>
      <c r="C1244">
        <v>4257501</v>
      </c>
      <c r="D1244">
        <v>394</v>
      </c>
    </row>
    <row r="1245" spans="1:4" x14ac:dyDescent="0.25">
      <c r="A1245" t="str">
        <f>T("847220")</f>
        <v>847220</v>
      </c>
      <c r="B1245" t="str">
        <f>T("Machines à imprimer les adresses ou à estamper les plaques d'adresses (sauf machines à écrire automatiques, machines automatiques pour le traitement de l'information et leurs unités et sauf imprimantes à laser, imprimantes thermiques ou imprimantes électr")</f>
        <v>Machines à imprimer les adresses ou à estamper les plaques d'adresses (sauf machines à écrire automatiques, machines automatiques pour le traitement de l'information et leurs unités et sauf imprimantes à laser, imprimantes thermiques ou imprimantes électr</v>
      </c>
    </row>
    <row r="1246" spans="1:4" x14ac:dyDescent="0.25">
      <c r="A1246" t="str">
        <f>T("   ZZZ_Monde")</f>
        <v xml:space="preserve">   ZZZ_Monde</v>
      </c>
      <c r="B1246" t="str">
        <f>T("   ZZZ_Monde")</f>
        <v xml:space="preserve">   ZZZ_Monde</v>
      </c>
      <c r="C1246">
        <v>250000</v>
      </c>
      <c r="D1246">
        <v>250</v>
      </c>
    </row>
    <row r="1247" spans="1:4" x14ac:dyDescent="0.25">
      <c r="A1247" t="str">
        <f>T("   GN")</f>
        <v xml:space="preserve">   GN</v>
      </c>
      <c r="B1247" t="str">
        <f>T("   Guinée")</f>
        <v xml:space="preserve">   Guinée</v>
      </c>
      <c r="C1247">
        <v>250000</v>
      </c>
      <c r="D1247">
        <v>250</v>
      </c>
    </row>
    <row r="1248" spans="1:4" x14ac:dyDescent="0.25">
      <c r="A1248" t="str">
        <f>T("847431")</f>
        <v>847431</v>
      </c>
      <c r="B1248"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249" spans="1:4" x14ac:dyDescent="0.25">
      <c r="A1249" t="str">
        <f>T("   ZZZ_Monde")</f>
        <v xml:space="preserve">   ZZZ_Monde</v>
      </c>
      <c r="B1249" t="str">
        <f>T("   ZZZ_Monde")</f>
        <v xml:space="preserve">   ZZZ_Monde</v>
      </c>
      <c r="C1249">
        <v>28325050</v>
      </c>
      <c r="D1249">
        <v>42605</v>
      </c>
    </row>
    <row r="1250" spans="1:4" x14ac:dyDescent="0.25">
      <c r="A1250" t="str">
        <f>T("   BF")</f>
        <v xml:space="preserve">   BF</v>
      </c>
      <c r="B1250" t="str">
        <f>T("   Burkina Faso")</f>
        <v xml:space="preserve">   Burkina Faso</v>
      </c>
      <c r="C1250">
        <v>6618000</v>
      </c>
      <c r="D1250">
        <v>8560</v>
      </c>
    </row>
    <row r="1251" spans="1:4" x14ac:dyDescent="0.25">
      <c r="A1251" t="str">
        <f>T("   GA")</f>
        <v xml:space="preserve">   GA</v>
      </c>
      <c r="B1251" t="str">
        <f>T("   Gabon")</f>
        <v xml:space="preserve">   Gabon</v>
      </c>
      <c r="C1251">
        <v>1000000</v>
      </c>
      <c r="D1251">
        <v>16800</v>
      </c>
    </row>
    <row r="1252" spans="1:4" x14ac:dyDescent="0.25">
      <c r="A1252" t="str">
        <f>T("   NE")</f>
        <v xml:space="preserve">   NE</v>
      </c>
      <c r="B1252" t="str">
        <f>T("   Niger")</f>
        <v xml:space="preserve">   Niger</v>
      </c>
      <c r="C1252">
        <v>4707050</v>
      </c>
      <c r="D1252">
        <v>4800</v>
      </c>
    </row>
    <row r="1253" spans="1:4" x14ac:dyDescent="0.25">
      <c r="A1253" t="str">
        <f>T("   TG")</f>
        <v xml:space="preserve">   TG</v>
      </c>
      <c r="B1253" t="str">
        <f>T("   Togo")</f>
        <v xml:space="preserve">   Togo</v>
      </c>
      <c r="C1253">
        <v>16000000</v>
      </c>
      <c r="D1253">
        <v>12445</v>
      </c>
    </row>
    <row r="1254" spans="1:4" x14ac:dyDescent="0.25">
      <c r="A1254" t="str">
        <f>T("847439")</f>
        <v>847439</v>
      </c>
      <c r="B1254"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255" spans="1:4" x14ac:dyDescent="0.25">
      <c r="A1255" t="str">
        <f>T("   ZZZ_Monde")</f>
        <v xml:space="preserve">   ZZZ_Monde</v>
      </c>
      <c r="B1255" t="str">
        <f>T("   ZZZ_Monde")</f>
        <v xml:space="preserve">   ZZZ_Monde</v>
      </c>
      <c r="C1255">
        <v>21449420</v>
      </c>
      <c r="D1255">
        <v>31718</v>
      </c>
    </row>
    <row r="1256" spans="1:4" x14ac:dyDescent="0.25">
      <c r="A1256" t="str">
        <f>T("   FR")</f>
        <v xml:space="preserve">   FR</v>
      </c>
      <c r="B1256" t="str">
        <f>T("   France")</f>
        <v xml:space="preserve">   France</v>
      </c>
      <c r="C1256">
        <v>6337305</v>
      </c>
      <c r="D1256">
        <v>6768</v>
      </c>
    </row>
    <row r="1257" spans="1:4" x14ac:dyDescent="0.25">
      <c r="A1257" t="str">
        <f>T("   IE")</f>
        <v xml:space="preserve">   IE</v>
      </c>
      <c r="B1257" t="str">
        <f>T("   Irlande")</f>
        <v xml:space="preserve">   Irlande</v>
      </c>
      <c r="C1257">
        <v>5865000</v>
      </c>
      <c r="D1257">
        <v>7900</v>
      </c>
    </row>
    <row r="1258" spans="1:4" x14ac:dyDescent="0.25">
      <c r="A1258" t="str">
        <f>T("   NL")</f>
        <v xml:space="preserve">   NL</v>
      </c>
      <c r="B1258" t="str">
        <f>T("   Pays-bas")</f>
        <v xml:space="preserve">   Pays-bas</v>
      </c>
      <c r="C1258">
        <v>9247115</v>
      </c>
      <c r="D1258">
        <v>17050</v>
      </c>
    </row>
    <row r="1259" spans="1:4" x14ac:dyDescent="0.25">
      <c r="A1259" t="str">
        <f>T("847480")</f>
        <v>847480</v>
      </c>
      <c r="B1259" t="str">
        <f>T("Machines à agglomérer, former ou mouler les combustibles minéraux solides, les pâtes céramiques, le ciment, le plâtre ou autres matières minérales en poudre ou pâte; machines à former les moules de fonderie en sable (sauf pour mouler ou couler le verre)")</f>
        <v>Machines à agglomérer, former ou mouler les combustibles minéraux solides, les pâtes céramiques, le ciment, le plâtre ou autres matières minérales en poudre ou pâte; machines à former les moules de fonderie en sable (sauf pour mouler ou couler le verre)</v>
      </c>
    </row>
    <row r="1260" spans="1:4" x14ac:dyDescent="0.25">
      <c r="A1260" t="str">
        <f>T("   ZZZ_Monde")</f>
        <v xml:space="preserve">   ZZZ_Monde</v>
      </c>
      <c r="B1260" t="str">
        <f>T("   ZZZ_Monde")</f>
        <v xml:space="preserve">   ZZZ_Monde</v>
      </c>
      <c r="C1260">
        <v>350939</v>
      </c>
      <c r="D1260">
        <v>56</v>
      </c>
    </row>
    <row r="1261" spans="1:4" x14ac:dyDescent="0.25">
      <c r="A1261" t="str">
        <f>T("   GH")</f>
        <v xml:space="preserve">   GH</v>
      </c>
      <c r="B1261" t="str">
        <f>T("   Ghana")</f>
        <v xml:space="preserve">   Ghana</v>
      </c>
      <c r="C1261">
        <v>350939</v>
      </c>
      <c r="D1261">
        <v>56</v>
      </c>
    </row>
    <row r="1262" spans="1:4" x14ac:dyDescent="0.25">
      <c r="A1262" t="str">
        <f>T("847890")</f>
        <v>847890</v>
      </c>
      <c r="B1262" t="str">
        <f>T("Parties des machines et appareils pour la préparation ou la transformation du tabac, n.d.a.")</f>
        <v>Parties des machines et appareils pour la préparation ou la transformation du tabac, n.d.a.</v>
      </c>
    </row>
    <row r="1263" spans="1:4" x14ac:dyDescent="0.25">
      <c r="A1263" t="str">
        <f>T("   ZZZ_Monde")</f>
        <v xml:space="preserve">   ZZZ_Monde</v>
      </c>
      <c r="B1263" t="str">
        <f>T("   ZZZ_Monde")</f>
        <v xml:space="preserve">   ZZZ_Monde</v>
      </c>
      <c r="C1263">
        <v>2109606718</v>
      </c>
      <c r="D1263">
        <v>231768</v>
      </c>
    </row>
    <row r="1264" spans="1:4" x14ac:dyDescent="0.25">
      <c r="A1264" t="str">
        <f>T("   NG")</f>
        <v xml:space="preserve">   NG</v>
      </c>
      <c r="B1264" t="str">
        <f>T("   Nigéria")</f>
        <v xml:space="preserve">   Nigéria</v>
      </c>
      <c r="C1264">
        <v>2109606718</v>
      </c>
      <c r="D1264">
        <v>231768</v>
      </c>
    </row>
    <row r="1265" spans="1:4" x14ac:dyDescent="0.25">
      <c r="A1265" t="str">
        <f>T("847910")</f>
        <v>847910</v>
      </c>
      <c r="B1265" t="str">
        <f>T("Machines et appareils pour les travaux publics, le bâtiment ou les travaux analogues, n.d.a.")</f>
        <v>Machines et appareils pour les travaux publics, le bâtiment ou les travaux analogues, n.d.a.</v>
      </c>
    </row>
    <row r="1266" spans="1:4" x14ac:dyDescent="0.25">
      <c r="A1266" t="str">
        <f>T("   ZZZ_Monde")</f>
        <v xml:space="preserve">   ZZZ_Monde</v>
      </c>
      <c r="B1266" t="str">
        <f>T("   ZZZ_Monde")</f>
        <v xml:space="preserve">   ZZZ_Monde</v>
      </c>
      <c r="C1266">
        <v>31500000</v>
      </c>
      <c r="D1266">
        <v>22280</v>
      </c>
    </row>
    <row r="1267" spans="1:4" x14ac:dyDescent="0.25">
      <c r="A1267" t="str">
        <f>T("   TG")</f>
        <v xml:space="preserve">   TG</v>
      </c>
      <c r="B1267" t="str">
        <f>T("   Togo")</f>
        <v xml:space="preserve">   Togo</v>
      </c>
      <c r="C1267">
        <v>31500000</v>
      </c>
      <c r="D1267">
        <v>22280</v>
      </c>
    </row>
    <row r="1268" spans="1:4" x14ac:dyDescent="0.25">
      <c r="A1268" t="str">
        <f>T("847989")</f>
        <v>847989</v>
      </c>
      <c r="B1268" t="str">
        <f>T("Machines et appareils, y.c. les appareils mécaniques, n.d.a.")</f>
        <v>Machines et appareils, y.c. les appareils mécaniques, n.d.a.</v>
      </c>
    </row>
    <row r="1269" spans="1:4" x14ac:dyDescent="0.25">
      <c r="A1269" t="str">
        <f>T("   ZZZ_Monde")</f>
        <v xml:space="preserve">   ZZZ_Monde</v>
      </c>
      <c r="B1269" t="str">
        <f>T("   ZZZ_Monde")</f>
        <v xml:space="preserve">   ZZZ_Monde</v>
      </c>
      <c r="C1269">
        <v>6067630</v>
      </c>
      <c r="D1269">
        <v>6500</v>
      </c>
    </row>
    <row r="1270" spans="1:4" x14ac:dyDescent="0.25">
      <c r="A1270" t="str">
        <f>T("   GH")</f>
        <v xml:space="preserve">   GH</v>
      </c>
      <c r="B1270" t="str">
        <f>T("   Ghana")</f>
        <v xml:space="preserve">   Ghana</v>
      </c>
      <c r="C1270">
        <v>6067630</v>
      </c>
      <c r="D1270">
        <v>6500</v>
      </c>
    </row>
    <row r="1271" spans="1:4" x14ac:dyDescent="0.25">
      <c r="A1271" t="str">
        <f>T("848180")</f>
        <v>848180</v>
      </c>
      <c r="B1271"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272" spans="1:4" x14ac:dyDescent="0.25">
      <c r="A1272" t="str">
        <f>T("   ZZZ_Monde")</f>
        <v xml:space="preserve">   ZZZ_Monde</v>
      </c>
      <c r="B1272" t="str">
        <f>T("   ZZZ_Monde")</f>
        <v xml:space="preserve">   ZZZ_Monde</v>
      </c>
      <c r="C1272">
        <v>517743400</v>
      </c>
      <c r="D1272">
        <v>50535</v>
      </c>
    </row>
    <row r="1273" spans="1:4" x14ac:dyDescent="0.25">
      <c r="A1273" t="str">
        <f>T("   BF")</f>
        <v xml:space="preserve">   BF</v>
      </c>
      <c r="B1273" t="str">
        <f>T("   Burkina Faso")</f>
        <v xml:space="preserve">   Burkina Faso</v>
      </c>
      <c r="C1273">
        <v>517743400</v>
      </c>
      <c r="D1273">
        <v>50535</v>
      </c>
    </row>
    <row r="1274" spans="1:4" x14ac:dyDescent="0.25">
      <c r="A1274" t="str">
        <f>T("848390")</f>
        <v>848390</v>
      </c>
      <c r="B1274"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275" spans="1:4" x14ac:dyDescent="0.25">
      <c r="A1275" t="str">
        <f>T("   ZZZ_Monde")</f>
        <v xml:space="preserve">   ZZZ_Monde</v>
      </c>
      <c r="B1275" t="str">
        <f>T("   ZZZ_Monde")</f>
        <v xml:space="preserve">   ZZZ_Monde</v>
      </c>
      <c r="C1275">
        <v>13345500</v>
      </c>
      <c r="D1275">
        <v>25921</v>
      </c>
    </row>
    <row r="1276" spans="1:4" x14ac:dyDescent="0.25">
      <c r="A1276" t="str">
        <f>T("   ID")</f>
        <v xml:space="preserve">   ID</v>
      </c>
      <c r="B1276" t="str">
        <f>T("   Indonésie")</f>
        <v xml:space="preserve">   Indonésie</v>
      </c>
      <c r="C1276">
        <v>13345500</v>
      </c>
      <c r="D1276">
        <v>25921</v>
      </c>
    </row>
    <row r="1277" spans="1:4" x14ac:dyDescent="0.25">
      <c r="A1277" t="str">
        <f>T("848490")</f>
        <v>848490</v>
      </c>
      <c r="B1277" t="str">
        <f>T("Jeux ou assortiments de joints de composition différente présentés en pochettes, enveloppes ou emballages analogues")</f>
        <v>Jeux ou assortiments de joints de composition différente présentés en pochettes, enveloppes ou emballages analogues</v>
      </c>
    </row>
    <row r="1278" spans="1:4" x14ac:dyDescent="0.25">
      <c r="A1278" t="str">
        <f>T("   ZZZ_Monde")</f>
        <v xml:space="preserve">   ZZZ_Monde</v>
      </c>
      <c r="B1278" t="str">
        <f>T("   ZZZ_Monde")</f>
        <v xml:space="preserve">   ZZZ_Monde</v>
      </c>
      <c r="C1278">
        <v>1461479</v>
      </c>
      <c r="D1278">
        <v>788</v>
      </c>
    </row>
    <row r="1279" spans="1:4" x14ac:dyDescent="0.25">
      <c r="A1279" t="str">
        <f>T("   GH")</f>
        <v xml:space="preserve">   GH</v>
      </c>
      <c r="B1279" t="str">
        <f>T("   Ghana")</f>
        <v xml:space="preserve">   Ghana</v>
      </c>
      <c r="C1279">
        <v>1461479</v>
      </c>
      <c r="D1279">
        <v>788</v>
      </c>
    </row>
    <row r="1280" spans="1:4" x14ac:dyDescent="0.25">
      <c r="A1280" t="str">
        <f>T("848590")</f>
        <v>848590</v>
      </c>
      <c r="B1280" t="str">
        <f>T("Parties de machines et appareils du chapitre 84, sans caractéristiques spéciales d'utilisation, n.d.a.")</f>
        <v>Parties de machines et appareils du chapitre 84, sans caractéristiques spéciales d'utilisation, n.d.a.</v>
      </c>
    </row>
    <row r="1281" spans="1:4" x14ac:dyDescent="0.25">
      <c r="A1281" t="str">
        <f>T("   ZZZ_Monde")</f>
        <v xml:space="preserve">   ZZZ_Monde</v>
      </c>
      <c r="B1281" t="str">
        <f>T("   ZZZ_Monde")</f>
        <v xml:space="preserve">   ZZZ_Monde</v>
      </c>
      <c r="C1281">
        <v>2588490</v>
      </c>
      <c r="D1281">
        <v>5099.3</v>
      </c>
    </row>
    <row r="1282" spans="1:4" x14ac:dyDescent="0.25">
      <c r="A1282" t="str">
        <f>T("   GR")</f>
        <v xml:space="preserve">   GR</v>
      </c>
      <c r="B1282" t="str">
        <f>T("   Grèce")</f>
        <v xml:space="preserve">   Grèce</v>
      </c>
      <c r="C1282">
        <v>719025</v>
      </c>
      <c r="D1282">
        <v>798</v>
      </c>
    </row>
    <row r="1283" spans="1:4" x14ac:dyDescent="0.25">
      <c r="A1283" t="str">
        <f>T("   SN")</f>
        <v xml:space="preserve">   SN</v>
      </c>
      <c r="B1283" t="str">
        <f>T("   Sénégal")</f>
        <v xml:space="preserve">   Sénégal</v>
      </c>
      <c r="C1283">
        <v>575220</v>
      </c>
      <c r="D1283">
        <v>2490.3000000000002</v>
      </c>
    </row>
    <row r="1284" spans="1:4" x14ac:dyDescent="0.25">
      <c r="A1284" t="str">
        <f>T("   TG")</f>
        <v xml:space="preserve">   TG</v>
      </c>
      <c r="B1284" t="str">
        <f>T("   Togo")</f>
        <v xml:space="preserve">   Togo</v>
      </c>
      <c r="C1284">
        <v>1294245</v>
      </c>
      <c r="D1284">
        <v>1811</v>
      </c>
    </row>
    <row r="1285" spans="1:4" x14ac:dyDescent="0.25">
      <c r="A1285" t="str">
        <f>T("850211")</f>
        <v>850211</v>
      </c>
      <c r="B1285" t="s">
        <v>18</v>
      </c>
    </row>
    <row r="1286" spans="1:4" x14ac:dyDescent="0.25">
      <c r="A1286" t="str">
        <f>T("   ZZZ_Monde")</f>
        <v xml:space="preserve">   ZZZ_Monde</v>
      </c>
      <c r="B1286" t="str">
        <f>T("   ZZZ_Monde")</f>
        <v xml:space="preserve">   ZZZ_Monde</v>
      </c>
      <c r="C1286">
        <v>67408242</v>
      </c>
      <c r="D1286">
        <v>27976.33</v>
      </c>
    </row>
    <row r="1287" spans="1:4" x14ac:dyDescent="0.25">
      <c r="A1287" t="str">
        <f>T("   FR")</f>
        <v xml:space="preserve">   FR</v>
      </c>
      <c r="B1287" t="str">
        <f>T("   France")</f>
        <v xml:space="preserve">   France</v>
      </c>
      <c r="C1287">
        <v>2099072</v>
      </c>
      <c r="D1287">
        <v>9000</v>
      </c>
    </row>
    <row r="1288" spans="1:4" x14ac:dyDescent="0.25">
      <c r="A1288" t="str">
        <f>T("   GQ")</f>
        <v xml:space="preserve">   GQ</v>
      </c>
      <c r="B1288" t="str">
        <f>T("   Guinée Equatoriale")</f>
        <v xml:space="preserve">   Guinée Equatoriale</v>
      </c>
      <c r="C1288">
        <v>1620000</v>
      </c>
      <c r="D1288">
        <v>500</v>
      </c>
    </row>
    <row r="1289" spans="1:4" x14ac:dyDescent="0.25">
      <c r="A1289" t="str">
        <f>T("   NE")</f>
        <v xml:space="preserve">   NE</v>
      </c>
      <c r="B1289" t="str">
        <f>T("   Niger")</f>
        <v xml:space="preserve">   Niger</v>
      </c>
      <c r="C1289">
        <v>11082320</v>
      </c>
      <c r="D1289">
        <v>1761.33</v>
      </c>
    </row>
    <row r="1290" spans="1:4" x14ac:dyDescent="0.25">
      <c r="A1290" t="str">
        <f>T("   NL")</f>
        <v xml:space="preserve">   NL</v>
      </c>
      <c r="B1290" t="str">
        <f>T("   Pays-bas")</f>
        <v xml:space="preserve">   Pays-bas</v>
      </c>
      <c r="C1290">
        <v>51656850</v>
      </c>
      <c r="D1290">
        <v>14700</v>
      </c>
    </row>
    <row r="1291" spans="1:4" x14ac:dyDescent="0.25">
      <c r="A1291" t="str">
        <f>T("   SN")</f>
        <v xml:space="preserve">   SN</v>
      </c>
      <c r="B1291" t="str">
        <f>T("   Sénégal")</f>
        <v xml:space="preserve">   Sénégal</v>
      </c>
      <c r="C1291">
        <v>700000</v>
      </c>
      <c r="D1291">
        <v>2000</v>
      </c>
    </row>
    <row r="1292" spans="1:4" x14ac:dyDescent="0.25">
      <c r="A1292" t="str">
        <f>T("   TZ")</f>
        <v xml:space="preserve">   TZ</v>
      </c>
      <c r="B1292" t="str">
        <f>T("   Tanzanie")</f>
        <v xml:space="preserve">   Tanzanie</v>
      </c>
      <c r="C1292">
        <v>250000</v>
      </c>
      <c r="D1292">
        <v>15</v>
      </c>
    </row>
    <row r="1293" spans="1:4" x14ac:dyDescent="0.25">
      <c r="A1293" t="str">
        <f>T("850212")</f>
        <v>850212</v>
      </c>
      <c r="B1293"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94" spans="1:4" x14ac:dyDescent="0.25">
      <c r="A1294" t="str">
        <f>T("   ZZZ_Monde")</f>
        <v xml:space="preserve">   ZZZ_Monde</v>
      </c>
      <c r="B1294" t="str">
        <f>T("   ZZZ_Monde")</f>
        <v xml:space="preserve">   ZZZ_Monde</v>
      </c>
      <c r="C1294">
        <v>8579872</v>
      </c>
      <c r="D1294">
        <v>4000</v>
      </c>
    </row>
    <row r="1295" spans="1:4" x14ac:dyDescent="0.25">
      <c r="A1295" t="str">
        <f>T("   GA")</f>
        <v xml:space="preserve">   GA</v>
      </c>
      <c r="B1295" t="str">
        <f>T("   Gabon")</f>
        <v xml:space="preserve">   Gabon</v>
      </c>
      <c r="C1295">
        <v>5000000</v>
      </c>
      <c r="D1295">
        <v>1000</v>
      </c>
    </row>
    <row r="1296" spans="1:4" x14ac:dyDescent="0.25">
      <c r="A1296" t="str">
        <f>T("   GH")</f>
        <v xml:space="preserve">   GH</v>
      </c>
      <c r="B1296" t="str">
        <f>T("   Ghana")</f>
        <v xml:space="preserve">   Ghana</v>
      </c>
      <c r="C1296">
        <v>2579872</v>
      </c>
      <c r="D1296">
        <v>2000</v>
      </c>
    </row>
    <row r="1297" spans="1:4" x14ac:dyDescent="0.25">
      <c r="A1297" t="str">
        <f>T("   NE")</f>
        <v xml:space="preserve">   NE</v>
      </c>
      <c r="B1297" t="str">
        <f>T("   Niger")</f>
        <v xml:space="preserve">   Niger</v>
      </c>
      <c r="C1297">
        <v>1000000</v>
      </c>
      <c r="D1297">
        <v>1000</v>
      </c>
    </row>
    <row r="1298" spans="1:4" x14ac:dyDescent="0.25">
      <c r="A1298" t="str">
        <f>T("850213")</f>
        <v>850213</v>
      </c>
      <c r="B1298" t="s">
        <v>19</v>
      </c>
    </row>
    <row r="1299" spans="1:4" x14ac:dyDescent="0.25">
      <c r="A1299" t="str">
        <f>T("   ZZZ_Monde")</f>
        <v xml:space="preserve">   ZZZ_Monde</v>
      </c>
      <c r="B1299" t="str">
        <f>T("   ZZZ_Monde")</f>
        <v xml:space="preserve">   ZZZ_Monde</v>
      </c>
      <c r="C1299">
        <v>200000</v>
      </c>
      <c r="D1299">
        <v>6000</v>
      </c>
    </row>
    <row r="1300" spans="1:4" x14ac:dyDescent="0.25">
      <c r="A1300" t="str">
        <f>T("   GA")</f>
        <v xml:space="preserve">   GA</v>
      </c>
      <c r="B1300" t="str">
        <f>T("   Gabon")</f>
        <v xml:space="preserve">   Gabon</v>
      </c>
      <c r="C1300">
        <v>200000</v>
      </c>
      <c r="D1300">
        <v>6000</v>
      </c>
    </row>
    <row r="1301" spans="1:4" x14ac:dyDescent="0.25">
      <c r="A1301" t="str">
        <f>T("850220")</f>
        <v>850220</v>
      </c>
      <c r="B1301" t="s">
        <v>20</v>
      </c>
    </row>
    <row r="1302" spans="1:4" x14ac:dyDescent="0.25">
      <c r="A1302" t="str">
        <f>T("   ZZZ_Monde")</f>
        <v xml:space="preserve">   ZZZ_Monde</v>
      </c>
      <c r="B1302" t="str">
        <f>T("   ZZZ_Monde")</f>
        <v xml:space="preserve">   ZZZ_Monde</v>
      </c>
      <c r="C1302">
        <v>17285201</v>
      </c>
      <c r="D1302">
        <v>3860</v>
      </c>
    </row>
    <row r="1303" spans="1:4" x14ac:dyDescent="0.25">
      <c r="A1303" t="str">
        <f>T("   FR")</f>
        <v xml:space="preserve">   FR</v>
      </c>
      <c r="B1303" t="str">
        <f>T("   France")</f>
        <v xml:space="preserve">   France</v>
      </c>
      <c r="C1303">
        <v>17285201</v>
      </c>
      <c r="D1303">
        <v>3860</v>
      </c>
    </row>
    <row r="1304" spans="1:4" x14ac:dyDescent="0.25">
      <c r="A1304" t="str">
        <f>T("850239")</f>
        <v>850239</v>
      </c>
      <c r="B1304" t="str">
        <f>T("Groupes électrogènes (autres qu'à énergie éolienne et à moteurs à piston)")</f>
        <v>Groupes électrogènes (autres qu'à énergie éolienne et à moteurs à piston)</v>
      </c>
    </row>
    <row r="1305" spans="1:4" x14ac:dyDescent="0.25">
      <c r="A1305" t="str">
        <f>T("   ZZZ_Monde")</f>
        <v xml:space="preserve">   ZZZ_Monde</v>
      </c>
      <c r="B1305" t="str">
        <f>T("   ZZZ_Monde")</f>
        <v xml:space="preserve">   ZZZ_Monde</v>
      </c>
      <c r="C1305">
        <v>1017842480</v>
      </c>
      <c r="D1305">
        <v>163649</v>
      </c>
    </row>
    <row r="1306" spans="1:4" x14ac:dyDescent="0.25">
      <c r="A1306" t="str">
        <f>T("   BF")</f>
        <v xml:space="preserve">   BF</v>
      </c>
      <c r="B1306" t="str">
        <f>T("   Burkina Faso")</f>
        <v xml:space="preserve">   Burkina Faso</v>
      </c>
      <c r="C1306">
        <v>10000000</v>
      </c>
      <c r="D1306">
        <v>8256</v>
      </c>
    </row>
    <row r="1307" spans="1:4" x14ac:dyDescent="0.25">
      <c r="A1307" t="str">
        <f>T("   CN")</f>
        <v xml:space="preserve">   CN</v>
      </c>
      <c r="B1307" t="str">
        <f>T("   Chine")</f>
        <v xml:space="preserve">   Chine</v>
      </c>
      <c r="C1307">
        <v>991599435</v>
      </c>
      <c r="D1307">
        <v>142380</v>
      </c>
    </row>
    <row r="1308" spans="1:4" x14ac:dyDescent="0.25">
      <c r="A1308" t="str">
        <f>T("   GA")</f>
        <v xml:space="preserve">   GA</v>
      </c>
      <c r="B1308" t="str">
        <f>T("   Gabon")</f>
        <v xml:space="preserve">   Gabon</v>
      </c>
      <c r="C1308">
        <v>15000000</v>
      </c>
      <c r="D1308">
        <v>5000</v>
      </c>
    </row>
    <row r="1309" spans="1:4" x14ac:dyDescent="0.25">
      <c r="A1309" t="str">
        <f>T("   GN")</f>
        <v xml:space="preserve">   GN</v>
      </c>
      <c r="B1309" t="str">
        <f>T("   Guinée")</f>
        <v xml:space="preserve">   Guinée</v>
      </c>
      <c r="C1309">
        <v>1243045</v>
      </c>
      <c r="D1309">
        <v>8013</v>
      </c>
    </row>
    <row r="1310" spans="1:4" x14ac:dyDescent="0.25">
      <c r="A1310" t="str">
        <f>T("850300")</f>
        <v>850300</v>
      </c>
      <c r="B1310"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311" spans="1:4" x14ac:dyDescent="0.25">
      <c r="A1311" t="str">
        <f>T("   ZZZ_Monde")</f>
        <v xml:space="preserve">   ZZZ_Monde</v>
      </c>
      <c r="B1311" t="str">
        <f>T("   ZZZ_Monde")</f>
        <v xml:space="preserve">   ZZZ_Monde</v>
      </c>
      <c r="C1311">
        <v>450000</v>
      </c>
      <c r="D1311">
        <v>815</v>
      </c>
    </row>
    <row r="1312" spans="1:4" x14ac:dyDescent="0.25">
      <c r="A1312" t="str">
        <f>T("   BF")</f>
        <v xml:space="preserve">   BF</v>
      </c>
      <c r="B1312" t="str">
        <f>T("   Burkina Faso")</f>
        <v xml:space="preserve">   Burkina Faso</v>
      </c>
      <c r="C1312">
        <v>450000</v>
      </c>
      <c r="D1312">
        <v>815</v>
      </c>
    </row>
    <row r="1313" spans="1:4" x14ac:dyDescent="0.25">
      <c r="A1313" t="str">
        <f>T("850680")</f>
        <v>850680</v>
      </c>
      <c r="B1313"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314" spans="1:4" x14ac:dyDescent="0.25">
      <c r="A1314" t="str">
        <f>T("   ZZZ_Monde")</f>
        <v xml:space="preserve">   ZZZ_Monde</v>
      </c>
      <c r="B1314" t="str">
        <f>T("   ZZZ_Monde")</f>
        <v xml:space="preserve">   ZZZ_Monde</v>
      </c>
      <c r="C1314">
        <v>23075111</v>
      </c>
      <c r="D1314">
        <v>37450</v>
      </c>
    </row>
    <row r="1315" spans="1:4" x14ac:dyDescent="0.25">
      <c r="A1315" t="str">
        <f>T("   AE")</f>
        <v xml:space="preserve">   AE</v>
      </c>
      <c r="B1315" t="str">
        <f>T("   Emirats Arabes Unis")</f>
        <v xml:space="preserve">   Emirats Arabes Unis</v>
      </c>
      <c r="C1315">
        <v>17075111</v>
      </c>
      <c r="D1315">
        <v>11450</v>
      </c>
    </row>
    <row r="1316" spans="1:4" x14ac:dyDescent="0.25">
      <c r="A1316" t="str">
        <f>T("   DE")</f>
        <v xml:space="preserve">   DE</v>
      </c>
      <c r="B1316" t="str">
        <f>T("   Allemagne")</f>
        <v xml:space="preserve">   Allemagne</v>
      </c>
      <c r="C1316">
        <v>6000000</v>
      </c>
      <c r="D1316">
        <v>26000</v>
      </c>
    </row>
    <row r="1317" spans="1:4" x14ac:dyDescent="0.25">
      <c r="A1317" t="str">
        <f>T("851430")</f>
        <v>851430</v>
      </c>
      <c r="B1317"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318" spans="1:4" x14ac:dyDescent="0.25">
      <c r="A1318" t="str">
        <f>T("   ZZZ_Monde")</f>
        <v xml:space="preserve">   ZZZ_Monde</v>
      </c>
      <c r="B1318" t="str">
        <f>T("   ZZZ_Monde")</f>
        <v xml:space="preserve">   ZZZ_Monde</v>
      </c>
      <c r="C1318">
        <v>6500000</v>
      </c>
      <c r="D1318">
        <v>800</v>
      </c>
    </row>
    <row r="1319" spans="1:4" x14ac:dyDescent="0.25">
      <c r="A1319" t="str">
        <f>T("   NE")</f>
        <v xml:space="preserve">   NE</v>
      </c>
      <c r="B1319" t="str">
        <f>T("   Niger")</f>
        <v xml:space="preserve">   Niger</v>
      </c>
      <c r="C1319">
        <v>6500000</v>
      </c>
      <c r="D1319">
        <v>800</v>
      </c>
    </row>
    <row r="1320" spans="1:4" x14ac:dyDescent="0.25">
      <c r="A1320" t="str">
        <f>T("851529")</f>
        <v>851529</v>
      </c>
      <c r="B1320" t="str">
        <f>T("MACHINES ET APPAREILS POUR LE SOUDAGE DES MÉTAUX PAR RÉSISTANCE, NON-AUTOMATIQUES")</f>
        <v>MACHINES ET APPAREILS POUR LE SOUDAGE DES MÉTAUX PAR RÉSISTANCE, NON-AUTOMATIQUES</v>
      </c>
    </row>
    <row r="1321" spans="1:4" x14ac:dyDescent="0.25">
      <c r="A1321" t="str">
        <f>T("   ZZZ_Monde")</f>
        <v xml:space="preserve">   ZZZ_Monde</v>
      </c>
      <c r="B1321" t="str">
        <f>T("   ZZZ_Monde")</f>
        <v xml:space="preserve">   ZZZ_Monde</v>
      </c>
      <c r="C1321">
        <v>150021176</v>
      </c>
      <c r="D1321">
        <v>13783</v>
      </c>
    </row>
    <row r="1322" spans="1:4" x14ac:dyDescent="0.25">
      <c r="A1322" t="str">
        <f>T("   CN")</f>
        <v xml:space="preserve">   CN</v>
      </c>
      <c r="B1322" t="str">
        <f>T("   Chine")</f>
        <v xml:space="preserve">   Chine</v>
      </c>
      <c r="C1322">
        <v>133363728</v>
      </c>
      <c r="D1322">
        <v>10640</v>
      </c>
    </row>
    <row r="1323" spans="1:4" x14ac:dyDescent="0.25">
      <c r="A1323" t="str">
        <f>T("   GH")</f>
        <v xml:space="preserve">   GH</v>
      </c>
      <c r="B1323" t="str">
        <f>T("   Ghana")</f>
        <v xml:space="preserve">   Ghana</v>
      </c>
      <c r="C1323">
        <v>16657448</v>
      </c>
      <c r="D1323">
        <v>3143</v>
      </c>
    </row>
    <row r="1324" spans="1:4" x14ac:dyDescent="0.25">
      <c r="A1324" t="str">
        <f>T("851539")</f>
        <v>851539</v>
      </c>
      <c r="B1324" t="str">
        <f>T("MACHINES ET APPAREILS POUR LE SOUDAGE DES MÉTAUX À L'ARC OU AU JET DE PLASMA, NON-AUTOMATIQUES")</f>
        <v>MACHINES ET APPAREILS POUR LE SOUDAGE DES MÉTAUX À L'ARC OU AU JET DE PLASMA, NON-AUTOMATIQUES</v>
      </c>
    </row>
    <row r="1325" spans="1:4" x14ac:dyDescent="0.25">
      <c r="A1325" t="str">
        <f>T("   ZZZ_Monde")</f>
        <v xml:space="preserve">   ZZZ_Monde</v>
      </c>
      <c r="B1325" t="str">
        <f>T("   ZZZ_Monde")</f>
        <v xml:space="preserve">   ZZZ_Monde</v>
      </c>
      <c r="C1325">
        <v>1379280</v>
      </c>
      <c r="D1325">
        <v>5260</v>
      </c>
    </row>
    <row r="1326" spans="1:4" x14ac:dyDescent="0.25">
      <c r="A1326" t="str">
        <f>T("   GH")</f>
        <v xml:space="preserve">   GH</v>
      </c>
      <c r="B1326" t="str">
        <f>T("   Ghana")</f>
        <v xml:space="preserve">   Ghana</v>
      </c>
      <c r="C1326">
        <v>1379280</v>
      </c>
      <c r="D1326">
        <v>5260</v>
      </c>
    </row>
    <row r="1327" spans="1:4" x14ac:dyDescent="0.25">
      <c r="A1327" t="str">
        <f>T("851790")</f>
        <v>851790</v>
      </c>
      <c r="B1327" t="str">
        <f>T("Parties d'appareils électriques pour la téléphonie ou la télégraphie par fil, y.c. les postes téléphoniques d'usagers par fil à combinés sans fil et les appareils pour la télécommunication par courant porteur ou pour la télécommunication numérique et des")</f>
        <v>Parties d'appareils électriques pour la téléphonie ou la télégraphie par fil, y.c. les postes téléphoniques d'usagers par fil à combinés sans fil et les appareils pour la télécommunication par courant porteur ou pour la télécommunication numérique et des</v>
      </c>
    </row>
    <row r="1328" spans="1:4" x14ac:dyDescent="0.25">
      <c r="A1328" t="str">
        <f>T("   ZZZ_Monde")</f>
        <v xml:space="preserve">   ZZZ_Monde</v>
      </c>
      <c r="B1328" t="str">
        <f>T("   ZZZ_Monde")</f>
        <v xml:space="preserve">   ZZZ_Monde</v>
      </c>
      <c r="C1328">
        <v>9000000</v>
      </c>
      <c r="D1328">
        <v>250</v>
      </c>
    </row>
    <row r="1329" spans="1:4" x14ac:dyDescent="0.25">
      <c r="A1329" t="str">
        <f>T("   TG")</f>
        <v xml:space="preserve">   TG</v>
      </c>
      <c r="B1329" t="str">
        <f>T("   Togo")</f>
        <v xml:space="preserve">   Togo</v>
      </c>
      <c r="C1329">
        <v>9000000</v>
      </c>
      <c r="D1329">
        <v>250</v>
      </c>
    </row>
    <row r="1330" spans="1:4" x14ac:dyDescent="0.25">
      <c r="A1330" t="str">
        <f>T("853669")</f>
        <v>853669</v>
      </c>
      <c r="B1330" t="str">
        <f>T("Fiches et prises de courant, pour une tension &lt;= 1.000 V (sauf douilles pour lampes)")</f>
        <v>Fiches et prises de courant, pour une tension &lt;= 1.000 V (sauf douilles pour lampes)</v>
      </c>
    </row>
    <row r="1331" spans="1:4" x14ac:dyDescent="0.25">
      <c r="A1331" t="str">
        <f>T("   ZZZ_Monde")</f>
        <v xml:space="preserve">   ZZZ_Monde</v>
      </c>
      <c r="B1331" t="str">
        <f>T("   ZZZ_Monde")</f>
        <v xml:space="preserve">   ZZZ_Monde</v>
      </c>
      <c r="C1331">
        <v>1557000</v>
      </c>
      <c r="D1331">
        <v>2440</v>
      </c>
    </row>
    <row r="1332" spans="1:4" x14ac:dyDescent="0.25">
      <c r="A1332" t="str">
        <f>T("   GA")</f>
        <v xml:space="preserve">   GA</v>
      </c>
      <c r="B1332" t="str">
        <f>T("   Gabon")</f>
        <v xml:space="preserve">   Gabon</v>
      </c>
      <c r="C1332">
        <v>1557000</v>
      </c>
      <c r="D1332">
        <v>2440</v>
      </c>
    </row>
    <row r="1333" spans="1:4" x14ac:dyDescent="0.25">
      <c r="A1333" t="str">
        <f>T("853710")</f>
        <v>853710</v>
      </c>
      <c r="B1333" t="str">
        <f>T("Tableaux, armoires et combinaisons d'appareils simil., pour la commande ou la distribution électrique, pour une tension &gt;= 1.000 V")</f>
        <v>Tableaux, armoires et combinaisons d'appareils simil., pour la commande ou la distribution électrique, pour une tension &gt;= 1.000 V</v>
      </c>
    </row>
    <row r="1334" spans="1:4" x14ac:dyDescent="0.25">
      <c r="A1334" t="str">
        <f>T("   ZZZ_Monde")</f>
        <v xml:space="preserve">   ZZZ_Monde</v>
      </c>
      <c r="B1334" t="str">
        <f>T("   ZZZ_Monde")</f>
        <v xml:space="preserve">   ZZZ_Monde</v>
      </c>
      <c r="C1334">
        <v>880299</v>
      </c>
      <c r="D1334">
        <v>166</v>
      </c>
    </row>
    <row r="1335" spans="1:4" x14ac:dyDescent="0.25">
      <c r="A1335" t="str">
        <f>T("   GH")</f>
        <v xml:space="preserve">   GH</v>
      </c>
      <c r="B1335" t="str">
        <f>T("   Ghana")</f>
        <v xml:space="preserve">   Ghana</v>
      </c>
      <c r="C1335">
        <v>880299</v>
      </c>
      <c r="D1335">
        <v>166</v>
      </c>
    </row>
    <row r="1336" spans="1:4" x14ac:dyDescent="0.25">
      <c r="A1336" t="str">
        <f>T("853890")</f>
        <v>853890</v>
      </c>
      <c r="B1336"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337" spans="1:4" x14ac:dyDescent="0.25">
      <c r="A1337" t="str">
        <f>T("   ZZZ_Monde")</f>
        <v xml:space="preserve">   ZZZ_Monde</v>
      </c>
      <c r="B1337" t="str">
        <f>T("   ZZZ_Monde")</f>
        <v xml:space="preserve">   ZZZ_Monde</v>
      </c>
      <c r="C1337">
        <v>450000</v>
      </c>
      <c r="D1337">
        <v>7360</v>
      </c>
    </row>
    <row r="1338" spans="1:4" x14ac:dyDescent="0.25">
      <c r="A1338" t="str">
        <f>T("   TG")</f>
        <v xml:space="preserve">   TG</v>
      </c>
      <c r="B1338" t="str">
        <f>T("   Togo")</f>
        <v xml:space="preserve">   Togo</v>
      </c>
      <c r="C1338">
        <v>450000</v>
      </c>
      <c r="D1338">
        <v>7360</v>
      </c>
    </row>
    <row r="1339" spans="1:4" x14ac:dyDescent="0.25">
      <c r="A1339" t="str">
        <f>T("853931")</f>
        <v>853931</v>
      </c>
      <c r="B1339" t="str">
        <f>T("Lampes et tubes à décharge, fluorescents, à cathode chaude")</f>
        <v>Lampes et tubes à décharge, fluorescents, à cathode chaude</v>
      </c>
    </row>
    <row r="1340" spans="1:4" x14ac:dyDescent="0.25">
      <c r="A1340" t="str">
        <f>T("   ZZZ_Monde")</f>
        <v xml:space="preserve">   ZZZ_Monde</v>
      </c>
      <c r="B1340" t="str">
        <f>T("   ZZZ_Monde")</f>
        <v xml:space="preserve">   ZZZ_Monde</v>
      </c>
      <c r="C1340">
        <v>3830880</v>
      </c>
      <c r="D1340">
        <v>2187</v>
      </c>
    </row>
    <row r="1341" spans="1:4" x14ac:dyDescent="0.25">
      <c r="A1341" t="str">
        <f>T("   NE")</f>
        <v xml:space="preserve">   NE</v>
      </c>
      <c r="B1341" t="str">
        <f>T("   Niger")</f>
        <v xml:space="preserve">   Niger</v>
      </c>
      <c r="C1341">
        <v>3830880</v>
      </c>
      <c r="D1341">
        <v>2187</v>
      </c>
    </row>
    <row r="1342" spans="1:4" x14ac:dyDescent="0.25">
      <c r="A1342" t="str">
        <f>T("854420")</f>
        <v>854420</v>
      </c>
      <c r="B1342" t="str">
        <f>T("Câbles coaxiaux et autres conducteurs électriques coaxiaux, isolés")</f>
        <v>Câbles coaxiaux et autres conducteurs électriques coaxiaux, isolés</v>
      </c>
    </row>
    <row r="1343" spans="1:4" x14ac:dyDescent="0.25">
      <c r="A1343" t="str">
        <f>T("   ZZZ_Monde")</f>
        <v xml:space="preserve">   ZZZ_Monde</v>
      </c>
      <c r="B1343" t="str">
        <f>T("   ZZZ_Monde")</f>
        <v xml:space="preserve">   ZZZ_Monde</v>
      </c>
      <c r="C1343">
        <v>750000</v>
      </c>
      <c r="D1343">
        <v>500</v>
      </c>
    </row>
    <row r="1344" spans="1:4" x14ac:dyDescent="0.25">
      <c r="A1344" t="str">
        <f>T("   AE")</f>
        <v xml:space="preserve">   AE</v>
      </c>
      <c r="B1344" t="str">
        <f>T("   Emirats Arabes Unis")</f>
        <v xml:space="preserve">   Emirats Arabes Unis</v>
      </c>
      <c r="C1344">
        <v>750000</v>
      </c>
      <c r="D1344">
        <v>500</v>
      </c>
    </row>
    <row r="1345" spans="1:4" x14ac:dyDescent="0.25">
      <c r="A1345" t="str">
        <f>T("854590")</f>
        <v>854590</v>
      </c>
      <c r="B1345" t="str">
        <f>T("Articles en graphite ou en autre carbone, pour usages électriques (autres qu'électrodes et balais)")</f>
        <v>Articles en graphite ou en autre carbone, pour usages électriques (autres qu'électrodes et balais)</v>
      </c>
    </row>
    <row r="1346" spans="1:4" x14ac:dyDescent="0.25">
      <c r="A1346" t="str">
        <f>T("   ZZZ_Monde")</f>
        <v xml:space="preserve">   ZZZ_Monde</v>
      </c>
      <c r="B1346" t="str">
        <f>T("   ZZZ_Monde")</f>
        <v xml:space="preserve">   ZZZ_Monde</v>
      </c>
      <c r="C1346">
        <v>550000</v>
      </c>
      <c r="D1346">
        <v>22000</v>
      </c>
    </row>
    <row r="1347" spans="1:4" x14ac:dyDescent="0.25">
      <c r="A1347" t="str">
        <f>T("   LB")</f>
        <v xml:space="preserve">   LB</v>
      </c>
      <c r="B1347" t="str">
        <f>T("   Liban")</f>
        <v xml:space="preserve">   Liban</v>
      </c>
      <c r="C1347">
        <v>550000</v>
      </c>
      <c r="D1347">
        <v>22000</v>
      </c>
    </row>
    <row r="1348" spans="1:4" x14ac:dyDescent="0.25">
      <c r="A1348" t="str">
        <f>T("854810")</f>
        <v>854810</v>
      </c>
      <c r="B1348" t="str">
        <f>T("Déchets et débris de piles, de batteries de piles et d'accumulateurs électriques; piles et batteries de piles électriques hors d'usage et accumulateurs électriques hors d'usage")</f>
        <v>Déchets et débris de piles, de batteries de piles et d'accumulateurs électriques; piles et batteries de piles électriques hors d'usage et accumulateurs électriques hors d'usage</v>
      </c>
    </row>
    <row r="1349" spans="1:4" x14ac:dyDescent="0.25">
      <c r="A1349" t="str">
        <f>T("   ZZZ_Monde")</f>
        <v xml:space="preserve">   ZZZ_Monde</v>
      </c>
      <c r="B1349" t="str">
        <f>T("   ZZZ_Monde")</f>
        <v xml:space="preserve">   ZZZ_Monde</v>
      </c>
      <c r="C1349">
        <v>2056100</v>
      </c>
      <c r="D1349">
        <v>44596</v>
      </c>
    </row>
    <row r="1350" spans="1:4" x14ac:dyDescent="0.25">
      <c r="A1350" t="str">
        <f>T("   GH")</f>
        <v xml:space="preserve">   GH</v>
      </c>
      <c r="B1350" t="str">
        <f>T("   Ghana")</f>
        <v xml:space="preserve">   Ghana</v>
      </c>
      <c r="C1350">
        <v>1000000</v>
      </c>
      <c r="D1350">
        <v>20000</v>
      </c>
    </row>
    <row r="1351" spans="1:4" x14ac:dyDescent="0.25">
      <c r="A1351" t="str">
        <f>T("   IN")</f>
        <v xml:space="preserve">   IN</v>
      </c>
      <c r="B1351" t="str">
        <f>T("   Inde")</f>
        <v xml:space="preserve">   Inde</v>
      </c>
      <c r="C1351">
        <v>1056100</v>
      </c>
      <c r="D1351">
        <v>24596</v>
      </c>
    </row>
    <row r="1352" spans="1:4" x14ac:dyDescent="0.25">
      <c r="A1352" t="str">
        <f>T("860900")</f>
        <v>860900</v>
      </c>
      <c r="B1352"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353" spans="1:4" x14ac:dyDescent="0.25">
      <c r="A1353" t="str">
        <f>T("   ZZZ_Monde")</f>
        <v xml:space="preserve">   ZZZ_Monde</v>
      </c>
      <c r="B1353" t="str">
        <f>T("   ZZZ_Monde")</f>
        <v xml:space="preserve">   ZZZ_Monde</v>
      </c>
      <c r="C1353">
        <v>950000</v>
      </c>
      <c r="D1353">
        <v>16000</v>
      </c>
    </row>
    <row r="1354" spans="1:4" x14ac:dyDescent="0.25">
      <c r="A1354" t="str">
        <f>T("   GA")</f>
        <v xml:space="preserve">   GA</v>
      </c>
      <c r="B1354" t="str">
        <f>T("   Gabon")</f>
        <v xml:space="preserve">   Gabon</v>
      </c>
      <c r="C1354">
        <v>950000</v>
      </c>
      <c r="D1354">
        <v>16000</v>
      </c>
    </row>
    <row r="1355" spans="1:4" x14ac:dyDescent="0.25">
      <c r="A1355" t="str">
        <f>T("870120")</f>
        <v>870120</v>
      </c>
      <c r="B1355" t="str">
        <f>T("Tracteurs routiers pour semi-remorques")</f>
        <v>Tracteurs routiers pour semi-remorques</v>
      </c>
    </row>
    <row r="1356" spans="1:4" x14ac:dyDescent="0.25">
      <c r="A1356" t="str">
        <f>T("   ZZZ_Monde")</f>
        <v xml:space="preserve">   ZZZ_Monde</v>
      </c>
      <c r="B1356" t="str">
        <f>T("   ZZZ_Monde")</f>
        <v xml:space="preserve">   ZZZ_Monde</v>
      </c>
      <c r="C1356">
        <v>68123395</v>
      </c>
      <c r="D1356">
        <v>109863</v>
      </c>
    </row>
    <row r="1357" spans="1:4" x14ac:dyDescent="0.25">
      <c r="A1357" t="str">
        <f>T("   GA")</f>
        <v xml:space="preserve">   GA</v>
      </c>
      <c r="B1357" t="str">
        <f>T("   Gabon")</f>
        <v xml:space="preserve">   Gabon</v>
      </c>
      <c r="C1357">
        <v>68123395</v>
      </c>
      <c r="D1357">
        <v>109863</v>
      </c>
    </row>
    <row r="1358" spans="1:4" x14ac:dyDescent="0.25">
      <c r="A1358" t="str">
        <f>T("870130")</f>
        <v>870130</v>
      </c>
      <c r="B1358" t="str">
        <f>T("Tracteurs à chenilles (sauf motoculteurs à chenille)")</f>
        <v>Tracteurs à chenilles (sauf motoculteurs à chenille)</v>
      </c>
    </row>
    <row r="1359" spans="1:4" x14ac:dyDescent="0.25">
      <c r="A1359" t="str">
        <f>T("   ZZZ_Monde")</f>
        <v xml:space="preserve">   ZZZ_Monde</v>
      </c>
      <c r="B1359" t="str">
        <f>T("   ZZZ_Monde")</f>
        <v xml:space="preserve">   ZZZ_Monde</v>
      </c>
      <c r="C1359">
        <v>102474072</v>
      </c>
      <c r="D1359">
        <v>18825</v>
      </c>
    </row>
    <row r="1360" spans="1:4" x14ac:dyDescent="0.25">
      <c r="A1360" t="str">
        <f>T("   NL")</f>
        <v xml:space="preserve">   NL</v>
      </c>
      <c r="B1360" t="str">
        <f>T("   Pays-bas")</f>
        <v xml:space="preserve">   Pays-bas</v>
      </c>
      <c r="C1360">
        <v>102474072</v>
      </c>
      <c r="D1360">
        <v>18825</v>
      </c>
    </row>
    <row r="1361" spans="1:4" x14ac:dyDescent="0.25">
      <c r="A1361" t="str">
        <f>T("870190")</f>
        <v>870190</v>
      </c>
      <c r="B1361"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362" spans="1:4" x14ac:dyDescent="0.25">
      <c r="A1362" t="str">
        <f>T("   ZZZ_Monde")</f>
        <v xml:space="preserve">   ZZZ_Monde</v>
      </c>
      <c r="B1362" t="str">
        <f>T("   ZZZ_Monde")</f>
        <v xml:space="preserve">   ZZZ_Monde</v>
      </c>
      <c r="C1362">
        <v>10678800</v>
      </c>
      <c r="D1362">
        <v>27212</v>
      </c>
    </row>
    <row r="1363" spans="1:4" x14ac:dyDescent="0.25">
      <c r="A1363" t="str">
        <f>T("   GA")</f>
        <v xml:space="preserve">   GA</v>
      </c>
      <c r="B1363" t="str">
        <f>T("   Gabon")</f>
        <v xml:space="preserve">   Gabon</v>
      </c>
      <c r="C1363">
        <v>10678800</v>
      </c>
      <c r="D1363">
        <v>27212</v>
      </c>
    </row>
    <row r="1364" spans="1:4" x14ac:dyDescent="0.25">
      <c r="A1364" t="str">
        <f>T("870290")</f>
        <v>870290</v>
      </c>
      <c r="B1364" t="s">
        <v>21</v>
      </c>
    </row>
    <row r="1365" spans="1:4" x14ac:dyDescent="0.25">
      <c r="A1365" t="str">
        <f>T("   ZZZ_Monde")</f>
        <v xml:space="preserve">   ZZZ_Monde</v>
      </c>
      <c r="B1365" t="str">
        <f>T("   ZZZ_Monde")</f>
        <v xml:space="preserve">   ZZZ_Monde</v>
      </c>
      <c r="C1365">
        <v>6859600</v>
      </c>
      <c r="D1365">
        <v>2015</v>
      </c>
    </row>
    <row r="1366" spans="1:4" x14ac:dyDescent="0.25">
      <c r="A1366" t="str">
        <f>T("   GA")</f>
        <v xml:space="preserve">   GA</v>
      </c>
      <c r="B1366" t="str">
        <f>T("   Gabon")</f>
        <v xml:space="preserve">   Gabon</v>
      </c>
      <c r="C1366">
        <v>6859600</v>
      </c>
      <c r="D1366">
        <v>2015</v>
      </c>
    </row>
    <row r="1367" spans="1:4" x14ac:dyDescent="0.25">
      <c r="A1367" t="str">
        <f>T("870322")</f>
        <v>870322</v>
      </c>
      <c r="B1367" t="s">
        <v>22</v>
      </c>
    </row>
    <row r="1368" spans="1:4" x14ac:dyDescent="0.25">
      <c r="A1368" t="str">
        <f>T("   ZZZ_Monde")</f>
        <v xml:space="preserve">   ZZZ_Monde</v>
      </c>
      <c r="B1368" t="str">
        <f>T("   ZZZ_Monde")</f>
        <v xml:space="preserve">   ZZZ_Monde</v>
      </c>
      <c r="C1368">
        <v>90010330</v>
      </c>
      <c r="D1368">
        <v>42745</v>
      </c>
    </row>
    <row r="1369" spans="1:4" x14ac:dyDescent="0.25">
      <c r="A1369" t="str">
        <f>T("   BE")</f>
        <v xml:space="preserve">   BE</v>
      </c>
      <c r="B1369" t="str">
        <f>T("   Belgique")</f>
        <v xml:space="preserve">   Belgique</v>
      </c>
      <c r="C1369">
        <v>1821850</v>
      </c>
      <c r="D1369">
        <v>2640</v>
      </c>
    </row>
    <row r="1370" spans="1:4" x14ac:dyDescent="0.25">
      <c r="A1370" t="str">
        <f>T("   BI")</f>
        <v xml:space="preserve">   BI</v>
      </c>
      <c r="B1370" t="str">
        <f>T("   Burundi")</f>
        <v xml:space="preserve">   Burundi</v>
      </c>
      <c r="C1370">
        <v>1874304</v>
      </c>
      <c r="D1370">
        <v>2170</v>
      </c>
    </row>
    <row r="1371" spans="1:4" x14ac:dyDescent="0.25">
      <c r="A1371" t="str">
        <f>T("   CD")</f>
        <v xml:space="preserve">   CD</v>
      </c>
      <c r="B1371" t="str">
        <f>T("   Congo, République Démocratique")</f>
        <v xml:space="preserve">   Congo, République Démocratique</v>
      </c>
      <c r="C1371">
        <v>1159308</v>
      </c>
      <c r="D1371">
        <v>2175</v>
      </c>
    </row>
    <row r="1372" spans="1:4" x14ac:dyDescent="0.25">
      <c r="A1372" t="str">
        <f>T("   CG")</f>
        <v xml:space="preserve">   CG</v>
      </c>
      <c r="B1372" t="str">
        <f>T("   Congo (Brazzaville)")</f>
        <v xml:space="preserve">   Congo (Brazzaville)</v>
      </c>
      <c r="C1372">
        <v>9257994</v>
      </c>
      <c r="D1372">
        <v>4030</v>
      </c>
    </row>
    <row r="1373" spans="1:4" x14ac:dyDescent="0.25">
      <c r="A1373" t="str">
        <f>T("   CI")</f>
        <v xml:space="preserve">   CI</v>
      </c>
      <c r="B1373" t="str">
        <f>T("   Côte d'Ivoire")</f>
        <v xml:space="preserve">   Côte d'Ivoire</v>
      </c>
      <c r="C1373">
        <v>2863553</v>
      </c>
      <c r="D1373">
        <v>2480</v>
      </c>
    </row>
    <row r="1374" spans="1:4" x14ac:dyDescent="0.25">
      <c r="A1374" t="str">
        <f>T("   CM")</f>
        <v xml:space="preserve">   CM</v>
      </c>
      <c r="B1374" t="str">
        <f>T("   Cameroun")</f>
        <v xml:space="preserve">   Cameroun</v>
      </c>
      <c r="C1374">
        <v>1000000</v>
      </c>
      <c r="D1374">
        <v>1090</v>
      </c>
    </row>
    <row r="1375" spans="1:4" x14ac:dyDescent="0.25">
      <c r="A1375" t="str">
        <f>T("   FR")</f>
        <v xml:space="preserve">   FR</v>
      </c>
      <c r="B1375" t="str">
        <f>T("   France")</f>
        <v xml:space="preserve">   France</v>
      </c>
      <c r="C1375">
        <v>13801607</v>
      </c>
      <c r="D1375">
        <v>7360</v>
      </c>
    </row>
    <row r="1376" spans="1:4" x14ac:dyDescent="0.25">
      <c r="A1376" t="str">
        <f>T("   GA")</f>
        <v xml:space="preserve">   GA</v>
      </c>
      <c r="B1376" t="str">
        <f>T("   Gabon")</f>
        <v xml:space="preserve">   Gabon</v>
      </c>
      <c r="C1376">
        <v>21419628</v>
      </c>
      <c r="D1376">
        <v>4410</v>
      </c>
    </row>
    <row r="1377" spans="1:4" x14ac:dyDescent="0.25">
      <c r="A1377" t="str">
        <f>T("   GB")</f>
        <v xml:space="preserve">   GB</v>
      </c>
      <c r="B1377" t="str">
        <f>T("   Royaume-Uni")</f>
        <v xml:space="preserve">   Royaume-Uni</v>
      </c>
      <c r="C1377">
        <v>800000</v>
      </c>
      <c r="D1377">
        <v>1100</v>
      </c>
    </row>
    <row r="1378" spans="1:4" x14ac:dyDescent="0.25">
      <c r="A1378" t="str">
        <f>T("   GN")</f>
        <v xml:space="preserve">   GN</v>
      </c>
      <c r="B1378" t="str">
        <f>T("   Guinée")</f>
        <v xml:space="preserve">   Guinée</v>
      </c>
      <c r="C1378">
        <v>1200000</v>
      </c>
      <c r="D1378">
        <v>1450</v>
      </c>
    </row>
    <row r="1379" spans="1:4" x14ac:dyDescent="0.25">
      <c r="A1379" t="str">
        <f>T("   GQ")</f>
        <v xml:space="preserve">   GQ</v>
      </c>
      <c r="B1379" t="str">
        <f>T("   Guinée Equatoriale")</f>
        <v xml:space="preserve">   Guinée Equatoriale</v>
      </c>
      <c r="C1379">
        <v>10526892</v>
      </c>
      <c r="D1379">
        <v>4485</v>
      </c>
    </row>
    <row r="1380" spans="1:4" x14ac:dyDescent="0.25">
      <c r="A1380" t="str">
        <f>T("   MA")</f>
        <v xml:space="preserve">   MA</v>
      </c>
      <c r="B1380" t="str">
        <f>T("   Maroc")</f>
        <v xml:space="preserve">   Maroc</v>
      </c>
      <c r="C1380">
        <v>14000000</v>
      </c>
      <c r="D1380">
        <v>1065</v>
      </c>
    </row>
    <row r="1381" spans="1:4" x14ac:dyDescent="0.25">
      <c r="A1381" t="str">
        <f>T("   NL")</f>
        <v xml:space="preserve">   NL</v>
      </c>
      <c r="B1381" t="str">
        <f>T("   Pays-bas")</f>
        <v xml:space="preserve">   Pays-bas</v>
      </c>
      <c r="C1381">
        <v>900000</v>
      </c>
      <c r="D1381">
        <v>1400</v>
      </c>
    </row>
    <row r="1382" spans="1:4" x14ac:dyDescent="0.25">
      <c r="A1382" t="str">
        <f>T("   TG")</f>
        <v xml:space="preserve">   TG</v>
      </c>
      <c r="B1382" t="str">
        <f>T("   Togo")</f>
        <v xml:space="preserve">   Togo</v>
      </c>
      <c r="C1382">
        <v>1200000</v>
      </c>
      <c r="D1382">
        <v>1890</v>
      </c>
    </row>
    <row r="1383" spans="1:4" x14ac:dyDescent="0.25">
      <c r="A1383" t="str">
        <f>T("   TN")</f>
        <v xml:space="preserve">   TN</v>
      </c>
      <c r="B1383" t="str">
        <f>T("   Tunisie")</f>
        <v xml:space="preserve">   Tunisie</v>
      </c>
      <c r="C1383">
        <v>2000000</v>
      </c>
      <c r="D1383">
        <v>3090</v>
      </c>
    </row>
    <row r="1384" spans="1:4" x14ac:dyDescent="0.25">
      <c r="A1384" t="str">
        <f>T("   US")</f>
        <v xml:space="preserve">   US</v>
      </c>
      <c r="B1384" t="str">
        <f>T("   Etats-Unis")</f>
        <v xml:space="preserve">   Etats-Unis</v>
      </c>
      <c r="C1384">
        <v>6185194</v>
      </c>
      <c r="D1384">
        <v>1910</v>
      </c>
    </row>
    <row r="1385" spans="1:4" x14ac:dyDescent="0.25">
      <c r="A1385" t="str">
        <f>T("870323")</f>
        <v>870323</v>
      </c>
      <c r="B1385" t="s">
        <v>23</v>
      </c>
    </row>
    <row r="1386" spans="1:4" x14ac:dyDescent="0.25">
      <c r="A1386" t="str">
        <f>T("   ZZZ_Monde")</f>
        <v xml:space="preserve">   ZZZ_Monde</v>
      </c>
      <c r="B1386" t="str">
        <f>T("   ZZZ_Monde")</f>
        <v xml:space="preserve">   ZZZ_Monde</v>
      </c>
      <c r="C1386">
        <v>197619488</v>
      </c>
      <c r="D1386">
        <v>42601</v>
      </c>
    </row>
    <row r="1387" spans="1:4" x14ac:dyDescent="0.25">
      <c r="A1387" t="str">
        <f>T("   AO")</f>
        <v xml:space="preserve">   AO</v>
      </c>
      <c r="B1387" t="str">
        <f>T("   Angola")</f>
        <v xml:space="preserve">   Angola</v>
      </c>
      <c r="C1387">
        <v>61243502</v>
      </c>
      <c r="D1387">
        <v>2600</v>
      </c>
    </row>
    <row r="1388" spans="1:4" x14ac:dyDescent="0.25">
      <c r="A1388" t="str">
        <f>T("   BE")</f>
        <v xml:space="preserve">   BE</v>
      </c>
      <c r="B1388" t="str">
        <f>T("   Belgique")</f>
        <v xml:space="preserve">   Belgique</v>
      </c>
      <c r="C1388">
        <v>2930866</v>
      </c>
      <c r="D1388">
        <v>1445</v>
      </c>
    </row>
    <row r="1389" spans="1:4" x14ac:dyDescent="0.25">
      <c r="A1389" t="str">
        <f>T("   BI")</f>
        <v xml:space="preserve">   BI</v>
      </c>
      <c r="B1389" t="str">
        <f>T("   Burundi")</f>
        <v xml:space="preserve">   Burundi</v>
      </c>
      <c r="C1389">
        <v>4321910</v>
      </c>
      <c r="D1389">
        <v>1700</v>
      </c>
    </row>
    <row r="1390" spans="1:4" x14ac:dyDescent="0.25">
      <c r="A1390" t="str">
        <f>T("   CD")</f>
        <v xml:space="preserve">   CD</v>
      </c>
      <c r="B1390" t="str">
        <f>T("   Congo, République Démocratique")</f>
        <v xml:space="preserve">   Congo, République Démocratique</v>
      </c>
      <c r="C1390">
        <v>10000000</v>
      </c>
      <c r="D1390">
        <v>1220</v>
      </c>
    </row>
    <row r="1391" spans="1:4" x14ac:dyDescent="0.25">
      <c r="A1391" t="str">
        <f>T("   CI")</f>
        <v xml:space="preserve">   CI</v>
      </c>
      <c r="B1391" t="str">
        <f>T("   Côte d'Ivoire")</f>
        <v xml:space="preserve">   Côte d'Ivoire</v>
      </c>
      <c r="C1391">
        <v>14443309</v>
      </c>
      <c r="D1391">
        <v>4201</v>
      </c>
    </row>
    <row r="1392" spans="1:4" x14ac:dyDescent="0.25">
      <c r="A1392" t="str">
        <f>T("   CM")</f>
        <v xml:space="preserve">   CM</v>
      </c>
      <c r="B1392" t="str">
        <f>T("   Cameroun")</f>
        <v xml:space="preserve">   Cameroun</v>
      </c>
      <c r="C1392">
        <v>6124925</v>
      </c>
      <c r="D1392">
        <v>1445</v>
      </c>
    </row>
    <row r="1393" spans="1:4" x14ac:dyDescent="0.25">
      <c r="A1393" t="str">
        <f>T("   DE")</f>
        <v xml:space="preserve">   DE</v>
      </c>
      <c r="B1393" t="str">
        <f>T("   Allemagne")</f>
        <v xml:space="preserve">   Allemagne</v>
      </c>
      <c r="C1393">
        <v>10275780</v>
      </c>
      <c r="D1393">
        <v>1600</v>
      </c>
    </row>
    <row r="1394" spans="1:4" x14ac:dyDescent="0.25">
      <c r="A1394" t="str">
        <f>T("   FR")</f>
        <v xml:space="preserve">   FR</v>
      </c>
      <c r="B1394" t="str">
        <f>T("   France")</f>
        <v xml:space="preserve">   France</v>
      </c>
      <c r="C1394">
        <v>12647150</v>
      </c>
      <c r="D1394">
        <v>10175</v>
      </c>
    </row>
    <row r="1395" spans="1:4" x14ac:dyDescent="0.25">
      <c r="A1395" t="str">
        <f>T("   GA")</f>
        <v xml:space="preserve">   GA</v>
      </c>
      <c r="B1395" t="str">
        <f>T("   Gabon")</f>
        <v xml:space="preserve">   Gabon</v>
      </c>
      <c r="C1395">
        <v>5829336</v>
      </c>
      <c r="D1395">
        <v>2495</v>
      </c>
    </row>
    <row r="1396" spans="1:4" x14ac:dyDescent="0.25">
      <c r="A1396" t="str">
        <f>T("   GQ")</f>
        <v xml:space="preserve">   GQ</v>
      </c>
      <c r="B1396" t="str">
        <f>T("   Guinée Equatoriale")</f>
        <v xml:space="preserve">   Guinée Equatoriale</v>
      </c>
      <c r="C1396">
        <v>11608344</v>
      </c>
      <c r="D1396">
        <v>3880</v>
      </c>
    </row>
    <row r="1397" spans="1:4" x14ac:dyDescent="0.25">
      <c r="A1397" t="str">
        <f>T("   JP")</f>
        <v xml:space="preserve">   JP</v>
      </c>
      <c r="B1397" t="str">
        <f>T("   Japon")</f>
        <v xml:space="preserve">   Japon</v>
      </c>
      <c r="C1397">
        <v>5306006</v>
      </c>
      <c r="D1397">
        <v>1400</v>
      </c>
    </row>
    <row r="1398" spans="1:4" x14ac:dyDescent="0.25">
      <c r="A1398" t="str">
        <f>T("   LY")</f>
        <v xml:space="preserve">   LY</v>
      </c>
      <c r="B1398" t="str">
        <f>T("   Libyenne, Jamahiriya Arabe")</f>
        <v xml:space="preserve">   Libyenne, Jamahiriya Arabe</v>
      </c>
      <c r="C1398">
        <v>3300000</v>
      </c>
      <c r="D1398">
        <v>1330</v>
      </c>
    </row>
    <row r="1399" spans="1:4" x14ac:dyDescent="0.25">
      <c r="A1399" t="str">
        <f>T("   MR")</f>
        <v xml:space="preserve">   MR</v>
      </c>
      <c r="B1399" t="str">
        <f>T("   Mauritanie")</f>
        <v xml:space="preserve">   Mauritanie</v>
      </c>
      <c r="C1399">
        <v>5242165</v>
      </c>
      <c r="D1399">
        <v>1015</v>
      </c>
    </row>
    <row r="1400" spans="1:4" x14ac:dyDescent="0.25">
      <c r="A1400" t="str">
        <f>T("   NE")</f>
        <v xml:space="preserve">   NE</v>
      </c>
      <c r="B1400" t="str">
        <f>T("   Niger")</f>
        <v xml:space="preserve">   Niger</v>
      </c>
      <c r="C1400">
        <v>10371384</v>
      </c>
      <c r="D1400">
        <v>1717</v>
      </c>
    </row>
    <row r="1401" spans="1:4" x14ac:dyDescent="0.25">
      <c r="A1401" t="str">
        <f>T("   TD")</f>
        <v xml:space="preserve">   TD</v>
      </c>
      <c r="B1401" t="str">
        <f>T("   Tchad")</f>
        <v xml:space="preserve">   Tchad</v>
      </c>
      <c r="C1401">
        <v>3041068</v>
      </c>
      <c r="D1401">
        <v>1843</v>
      </c>
    </row>
    <row r="1402" spans="1:4" x14ac:dyDescent="0.25">
      <c r="A1402" t="str">
        <f>T("   TN")</f>
        <v xml:space="preserve">   TN</v>
      </c>
      <c r="B1402" t="str">
        <f>T("   Tunisie")</f>
        <v xml:space="preserve">   Tunisie</v>
      </c>
      <c r="C1402">
        <v>21843468</v>
      </c>
      <c r="D1402">
        <v>1635</v>
      </c>
    </row>
    <row r="1403" spans="1:4" x14ac:dyDescent="0.25">
      <c r="A1403" t="str">
        <f>T("   TZ")</f>
        <v xml:space="preserve">   TZ</v>
      </c>
      <c r="B1403" t="str">
        <f>T("   Tanzanie")</f>
        <v xml:space="preserve">   Tanzanie</v>
      </c>
      <c r="C1403">
        <v>5383690</v>
      </c>
      <c r="D1403">
        <v>1220</v>
      </c>
    </row>
    <row r="1404" spans="1:4" x14ac:dyDescent="0.25">
      <c r="A1404" t="str">
        <f>T("   US")</f>
        <v xml:space="preserve">   US</v>
      </c>
      <c r="B1404" t="str">
        <f>T("   Etats-Unis")</f>
        <v xml:space="preserve">   Etats-Unis</v>
      </c>
      <c r="C1404">
        <v>3706585</v>
      </c>
      <c r="D1404">
        <v>1680</v>
      </c>
    </row>
    <row r="1405" spans="1:4" x14ac:dyDescent="0.25">
      <c r="A1405" t="str">
        <f>T("870324")</f>
        <v>870324</v>
      </c>
      <c r="B1405" t="s">
        <v>24</v>
      </c>
    </row>
    <row r="1406" spans="1:4" x14ac:dyDescent="0.25">
      <c r="A1406" t="str">
        <f>T("   ZZZ_Monde")</f>
        <v xml:space="preserve">   ZZZ_Monde</v>
      </c>
      <c r="B1406" t="str">
        <f>T("   ZZZ_Monde")</f>
        <v xml:space="preserve">   ZZZ_Monde</v>
      </c>
      <c r="C1406">
        <v>78397826</v>
      </c>
      <c r="D1406">
        <v>5250</v>
      </c>
    </row>
    <row r="1407" spans="1:4" x14ac:dyDescent="0.25">
      <c r="A1407" t="str">
        <f>T("   FR")</f>
        <v xml:space="preserve">   FR</v>
      </c>
      <c r="B1407" t="str">
        <f>T("   France")</f>
        <v xml:space="preserve">   France</v>
      </c>
      <c r="C1407">
        <v>62208624</v>
      </c>
      <c r="D1407">
        <v>2000</v>
      </c>
    </row>
    <row r="1408" spans="1:4" x14ac:dyDescent="0.25">
      <c r="A1408" t="str">
        <f>T("   GA")</f>
        <v xml:space="preserve">   GA</v>
      </c>
      <c r="B1408" t="str">
        <f>T("   Gabon")</f>
        <v xml:space="preserve">   Gabon</v>
      </c>
      <c r="C1408">
        <v>13512776</v>
      </c>
      <c r="D1408">
        <v>1950</v>
      </c>
    </row>
    <row r="1409" spans="1:4" x14ac:dyDescent="0.25">
      <c r="A1409" t="str">
        <f>T("   TG")</f>
        <v xml:space="preserve">   TG</v>
      </c>
      <c r="B1409" t="str">
        <f>T("   Togo")</f>
        <v xml:space="preserve">   Togo</v>
      </c>
      <c r="C1409">
        <v>2676426</v>
      </c>
      <c r="D1409">
        <v>1300</v>
      </c>
    </row>
    <row r="1410" spans="1:4" x14ac:dyDescent="0.25">
      <c r="A1410" t="str">
        <f>T("870332")</f>
        <v>870332</v>
      </c>
      <c r="B1410" t="s">
        <v>25</v>
      </c>
    </row>
    <row r="1411" spans="1:4" x14ac:dyDescent="0.25">
      <c r="A1411" t="str">
        <f>T("   ZZZ_Monde")</f>
        <v xml:space="preserve">   ZZZ_Monde</v>
      </c>
      <c r="B1411" t="str">
        <f>T("   ZZZ_Monde")</f>
        <v xml:space="preserve">   ZZZ_Monde</v>
      </c>
      <c r="C1411">
        <v>6773235</v>
      </c>
      <c r="D1411">
        <v>4395</v>
      </c>
    </row>
    <row r="1412" spans="1:4" x14ac:dyDescent="0.25">
      <c r="A1412" t="str">
        <f>T("   ML")</f>
        <v xml:space="preserve">   ML</v>
      </c>
      <c r="B1412" t="str">
        <f>T("   Mali")</f>
        <v xml:space="preserve">   Mali</v>
      </c>
      <c r="C1412">
        <v>6773235</v>
      </c>
      <c r="D1412">
        <v>4395</v>
      </c>
    </row>
    <row r="1413" spans="1:4" x14ac:dyDescent="0.25">
      <c r="A1413" t="str">
        <f>T("870333")</f>
        <v>870333</v>
      </c>
      <c r="B1413" t="s">
        <v>26</v>
      </c>
    </row>
    <row r="1414" spans="1:4" x14ac:dyDescent="0.25">
      <c r="A1414" t="str">
        <f>T("   ZZZ_Monde")</f>
        <v xml:space="preserve">   ZZZ_Monde</v>
      </c>
      <c r="B1414" t="str">
        <f>T("   ZZZ_Monde")</f>
        <v xml:space="preserve">   ZZZ_Monde</v>
      </c>
      <c r="C1414">
        <v>63746346</v>
      </c>
      <c r="D1414">
        <v>7495</v>
      </c>
    </row>
    <row r="1415" spans="1:4" x14ac:dyDescent="0.25">
      <c r="A1415" t="str">
        <f>T("   CI")</f>
        <v xml:space="preserve">   CI</v>
      </c>
      <c r="B1415" t="str">
        <f>T("   Côte d'Ivoire")</f>
        <v xml:space="preserve">   Côte d'Ivoire</v>
      </c>
      <c r="C1415">
        <v>9446820</v>
      </c>
      <c r="D1415">
        <v>2085</v>
      </c>
    </row>
    <row r="1416" spans="1:4" x14ac:dyDescent="0.25">
      <c r="A1416" t="str">
        <f>T("   FR")</f>
        <v xml:space="preserve">   FR</v>
      </c>
      <c r="B1416" t="str">
        <f>T("   France")</f>
        <v xml:space="preserve">   France</v>
      </c>
      <c r="C1416">
        <v>45167664</v>
      </c>
      <c r="D1416">
        <v>2110</v>
      </c>
    </row>
    <row r="1417" spans="1:4" x14ac:dyDescent="0.25">
      <c r="A1417" t="str">
        <f>T("   JP")</f>
        <v xml:space="preserve">   JP</v>
      </c>
      <c r="B1417" t="str">
        <f>T("   Japon")</f>
        <v xml:space="preserve">   Japon</v>
      </c>
      <c r="C1417">
        <v>9131862</v>
      </c>
      <c r="D1417">
        <v>3300</v>
      </c>
    </row>
    <row r="1418" spans="1:4" x14ac:dyDescent="0.25">
      <c r="A1418" t="str">
        <f>T("870410")</f>
        <v>870410</v>
      </c>
      <c r="B1418" t="str">
        <f>T("Tombereaux automoteurs utilisés en dehors du réseau routier")</f>
        <v>Tombereaux automoteurs utilisés en dehors du réseau routier</v>
      </c>
    </row>
    <row r="1419" spans="1:4" x14ac:dyDescent="0.25">
      <c r="A1419" t="str">
        <f>T("   ZZZ_Monde")</f>
        <v xml:space="preserve">   ZZZ_Monde</v>
      </c>
      <c r="B1419" t="str">
        <f>T("   ZZZ_Monde")</f>
        <v xml:space="preserve">   ZZZ_Monde</v>
      </c>
      <c r="C1419">
        <v>272479224</v>
      </c>
      <c r="D1419">
        <v>130000</v>
      </c>
    </row>
    <row r="1420" spans="1:4" x14ac:dyDescent="0.25">
      <c r="A1420" t="str">
        <f>T("   MA")</f>
        <v xml:space="preserve">   MA</v>
      </c>
      <c r="B1420" t="str">
        <f>T("   Maroc")</f>
        <v xml:space="preserve">   Maroc</v>
      </c>
      <c r="C1420">
        <v>207333213</v>
      </c>
      <c r="D1420">
        <v>97500</v>
      </c>
    </row>
    <row r="1421" spans="1:4" x14ac:dyDescent="0.25">
      <c r="A1421" t="str">
        <f>T("   MG")</f>
        <v xml:space="preserve">   MG</v>
      </c>
      <c r="B1421" t="str">
        <f>T("   Madagascar")</f>
        <v xml:space="preserve">   Madagascar</v>
      </c>
      <c r="C1421">
        <v>65146011</v>
      </c>
      <c r="D1421">
        <v>32500</v>
      </c>
    </row>
    <row r="1422" spans="1:4" x14ac:dyDescent="0.25">
      <c r="A1422" t="str">
        <f>T("870421")</f>
        <v>870421</v>
      </c>
      <c r="B1422" t="s">
        <v>27</v>
      </c>
    </row>
    <row r="1423" spans="1:4" x14ac:dyDescent="0.25">
      <c r="A1423" t="str">
        <f>T("   ZZZ_Monde")</f>
        <v xml:space="preserve">   ZZZ_Monde</v>
      </c>
      <c r="B1423" t="str">
        <f>T("   ZZZ_Monde")</f>
        <v xml:space="preserve">   ZZZ_Monde</v>
      </c>
      <c r="C1423">
        <v>795741284</v>
      </c>
      <c r="D1423">
        <v>242098</v>
      </c>
    </row>
    <row r="1424" spans="1:4" x14ac:dyDescent="0.25">
      <c r="A1424" t="str">
        <f>T("   AE")</f>
        <v xml:space="preserve">   AE</v>
      </c>
      <c r="B1424" t="str">
        <f>T("   Emirats Arabes Unis")</f>
        <v xml:space="preserve">   Emirats Arabes Unis</v>
      </c>
      <c r="C1424">
        <v>745201135</v>
      </c>
      <c r="D1424">
        <v>175600</v>
      </c>
    </row>
    <row r="1425" spans="1:4" x14ac:dyDescent="0.25">
      <c r="A1425" t="str">
        <f>T("   CG")</f>
        <v xml:space="preserve">   CG</v>
      </c>
      <c r="B1425" t="str">
        <f>T("   Congo (Brazzaville)")</f>
        <v xml:space="preserve">   Congo (Brazzaville)</v>
      </c>
      <c r="C1425">
        <v>5705703</v>
      </c>
      <c r="D1425">
        <v>1857</v>
      </c>
    </row>
    <row r="1426" spans="1:4" x14ac:dyDescent="0.25">
      <c r="A1426" t="str">
        <f>T("   CI")</f>
        <v xml:space="preserve">   CI</v>
      </c>
      <c r="B1426" t="str">
        <f>T("   Côte d'Ivoire")</f>
        <v xml:space="preserve">   Côte d'Ivoire</v>
      </c>
      <c r="C1426">
        <v>5247680</v>
      </c>
      <c r="D1426">
        <v>3000</v>
      </c>
    </row>
    <row r="1427" spans="1:4" x14ac:dyDescent="0.25">
      <c r="A1427" t="str">
        <f>T("   GA")</f>
        <v xml:space="preserve">   GA</v>
      </c>
      <c r="B1427" t="str">
        <f>T("   Gabon")</f>
        <v xml:space="preserve">   Gabon</v>
      </c>
      <c r="C1427">
        <v>30377100</v>
      </c>
      <c r="D1427">
        <v>30900</v>
      </c>
    </row>
    <row r="1428" spans="1:4" x14ac:dyDescent="0.25">
      <c r="A1428" t="str">
        <f>T("   GN")</f>
        <v xml:space="preserve">   GN</v>
      </c>
      <c r="B1428" t="str">
        <f>T("   Guinée")</f>
        <v xml:space="preserve">   Guinée</v>
      </c>
      <c r="C1428">
        <v>1244582</v>
      </c>
      <c r="D1428">
        <v>24000</v>
      </c>
    </row>
    <row r="1429" spans="1:4" x14ac:dyDescent="0.25">
      <c r="A1429" t="str">
        <f>T("   GQ")</f>
        <v xml:space="preserve">   GQ</v>
      </c>
      <c r="B1429" t="str">
        <f>T("   Guinée Equatoriale")</f>
        <v xml:space="preserve">   Guinée Equatoriale</v>
      </c>
      <c r="C1429">
        <v>4476916</v>
      </c>
      <c r="D1429">
        <v>4796</v>
      </c>
    </row>
    <row r="1430" spans="1:4" x14ac:dyDescent="0.25">
      <c r="A1430" t="str">
        <f>T("   ML")</f>
        <v xml:space="preserve">   ML</v>
      </c>
      <c r="B1430" t="str">
        <f>T("   Mali")</f>
        <v xml:space="preserve">   Mali</v>
      </c>
      <c r="C1430">
        <v>3488168</v>
      </c>
      <c r="D1430">
        <v>1945</v>
      </c>
    </row>
    <row r="1431" spans="1:4" x14ac:dyDescent="0.25">
      <c r="A1431" t="str">
        <f>T("870422")</f>
        <v>870422</v>
      </c>
      <c r="B1431" t="s">
        <v>28</v>
      </c>
    </row>
    <row r="1432" spans="1:4" x14ac:dyDescent="0.25">
      <c r="A1432" t="str">
        <f>T("   ZZZ_Monde")</f>
        <v xml:space="preserve">   ZZZ_Monde</v>
      </c>
      <c r="B1432" t="str">
        <f>T("   ZZZ_Monde")</f>
        <v xml:space="preserve">   ZZZ_Monde</v>
      </c>
      <c r="C1432">
        <v>176654370</v>
      </c>
      <c r="D1432">
        <v>175816</v>
      </c>
    </row>
    <row r="1433" spans="1:4" x14ac:dyDescent="0.25">
      <c r="A1433" t="str">
        <f>T("   GA")</f>
        <v xml:space="preserve">   GA</v>
      </c>
      <c r="B1433" t="str">
        <f>T("   Gabon")</f>
        <v xml:space="preserve">   Gabon</v>
      </c>
      <c r="C1433">
        <v>19990223</v>
      </c>
      <c r="D1433">
        <v>76756</v>
      </c>
    </row>
    <row r="1434" spans="1:4" x14ac:dyDescent="0.25">
      <c r="A1434" t="str">
        <f>T("   GN")</f>
        <v xml:space="preserve">   GN</v>
      </c>
      <c r="B1434" t="str">
        <f>T("   Guinée")</f>
        <v xml:space="preserve">   Guinée</v>
      </c>
      <c r="C1434">
        <v>5406492</v>
      </c>
      <c r="D1434">
        <v>19000</v>
      </c>
    </row>
    <row r="1435" spans="1:4" x14ac:dyDescent="0.25">
      <c r="A1435" t="str">
        <f>T("   IT")</f>
        <v xml:space="preserve">   IT</v>
      </c>
      <c r="B1435" t="str">
        <f>T("   Italie")</f>
        <v xml:space="preserve">   Italie</v>
      </c>
      <c r="C1435">
        <v>93646160</v>
      </c>
      <c r="D1435">
        <v>39600</v>
      </c>
    </row>
    <row r="1436" spans="1:4" x14ac:dyDescent="0.25">
      <c r="A1436" t="str">
        <f>T("   ML")</f>
        <v xml:space="preserve">   ML</v>
      </c>
      <c r="B1436" t="str">
        <f>T("   Mali")</f>
        <v xml:space="preserve">   Mali</v>
      </c>
      <c r="C1436">
        <v>46823080</v>
      </c>
      <c r="D1436">
        <v>19800</v>
      </c>
    </row>
    <row r="1437" spans="1:4" x14ac:dyDescent="0.25">
      <c r="A1437" t="str">
        <f>T("   TG")</f>
        <v xml:space="preserve">   TG</v>
      </c>
      <c r="B1437" t="str">
        <f>T("   Togo")</f>
        <v xml:space="preserve">   Togo</v>
      </c>
      <c r="C1437">
        <v>10788415</v>
      </c>
      <c r="D1437">
        <v>20660</v>
      </c>
    </row>
    <row r="1438" spans="1:4" x14ac:dyDescent="0.25">
      <c r="A1438" t="str">
        <f>T("870423")</f>
        <v>870423</v>
      </c>
      <c r="B1438" t="s">
        <v>29</v>
      </c>
    </row>
    <row r="1439" spans="1:4" x14ac:dyDescent="0.25">
      <c r="A1439" t="str">
        <f>T("   ZZZ_Monde")</f>
        <v xml:space="preserve">   ZZZ_Monde</v>
      </c>
      <c r="B1439" t="str">
        <f>T("   ZZZ_Monde")</f>
        <v xml:space="preserve">   ZZZ_Monde</v>
      </c>
      <c r="C1439">
        <v>12548277</v>
      </c>
      <c r="D1439">
        <v>95616</v>
      </c>
    </row>
    <row r="1440" spans="1:4" x14ac:dyDescent="0.25">
      <c r="A1440" t="str">
        <f>T("   GA")</f>
        <v xml:space="preserve">   GA</v>
      </c>
      <c r="B1440" t="str">
        <f>T("   Gabon")</f>
        <v xml:space="preserve">   Gabon</v>
      </c>
      <c r="C1440">
        <v>2875752</v>
      </c>
      <c r="D1440">
        <v>23450</v>
      </c>
    </row>
    <row r="1441" spans="1:4" x14ac:dyDescent="0.25">
      <c r="A1441" t="str">
        <f>T("   ZA")</f>
        <v xml:space="preserve">   ZA</v>
      </c>
      <c r="B1441" t="str">
        <f>T("   Afrique du Sud")</f>
        <v xml:space="preserve">   Afrique du Sud</v>
      </c>
      <c r="C1441">
        <v>9672525</v>
      </c>
      <c r="D1441">
        <v>72166</v>
      </c>
    </row>
    <row r="1442" spans="1:4" x14ac:dyDescent="0.25">
      <c r="A1442" t="str">
        <f>T("870431")</f>
        <v>870431</v>
      </c>
      <c r="B1442" t="s">
        <v>30</v>
      </c>
    </row>
    <row r="1443" spans="1:4" x14ac:dyDescent="0.25">
      <c r="A1443" t="str">
        <f>T("   ZZZ_Monde")</f>
        <v xml:space="preserve">   ZZZ_Monde</v>
      </c>
      <c r="B1443" t="str">
        <f>T("   ZZZ_Monde")</f>
        <v xml:space="preserve">   ZZZ_Monde</v>
      </c>
      <c r="C1443">
        <v>16799731</v>
      </c>
      <c r="D1443">
        <v>17410</v>
      </c>
    </row>
    <row r="1444" spans="1:4" x14ac:dyDescent="0.25">
      <c r="A1444" t="str">
        <f>T("   CG")</f>
        <v xml:space="preserve">   CG</v>
      </c>
      <c r="B1444" t="str">
        <f>T("   Congo (Brazzaville)")</f>
        <v xml:space="preserve">   Congo (Brazzaville)</v>
      </c>
      <c r="C1444">
        <v>3874107</v>
      </c>
      <c r="D1444">
        <v>1410</v>
      </c>
    </row>
    <row r="1445" spans="1:4" x14ac:dyDescent="0.25">
      <c r="A1445" t="str">
        <f>T("   ES")</f>
        <v xml:space="preserve">   ES</v>
      </c>
      <c r="B1445" t="str">
        <f>T("   Espagne")</f>
        <v xml:space="preserve">   Espagne</v>
      </c>
      <c r="C1445">
        <v>12925624</v>
      </c>
      <c r="D1445">
        <v>16000</v>
      </c>
    </row>
    <row r="1446" spans="1:4" x14ac:dyDescent="0.25">
      <c r="A1446" t="str">
        <f>T("870530")</f>
        <v>870530</v>
      </c>
      <c r="B1446" t="str">
        <f>T("Voitures de lutte contre l'incendie (sauf véhicules affectés principalement au transport des sapeurs-pompiers)")</f>
        <v>Voitures de lutte contre l'incendie (sauf véhicules affectés principalement au transport des sapeurs-pompiers)</v>
      </c>
    </row>
    <row r="1447" spans="1:4" x14ac:dyDescent="0.25">
      <c r="A1447" t="str">
        <f>T("   ZZZ_Monde")</f>
        <v xml:space="preserve">   ZZZ_Monde</v>
      </c>
      <c r="B1447" t="str">
        <f>T("   ZZZ_Monde")</f>
        <v xml:space="preserve">   ZZZ_Monde</v>
      </c>
      <c r="C1447">
        <v>153600</v>
      </c>
      <c r="D1447">
        <v>4910</v>
      </c>
    </row>
    <row r="1448" spans="1:4" x14ac:dyDescent="0.25">
      <c r="A1448" t="str">
        <f>T("   BF")</f>
        <v xml:space="preserve">   BF</v>
      </c>
      <c r="B1448" t="str">
        <f>T("   Burkina Faso")</f>
        <v xml:space="preserve">   Burkina Faso</v>
      </c>
      <c r="C1448">
        <v>153600</v>
      </c>
      <c r="D1448">
        <v>4910</v>
      </c>
    </row>
    <row r="1449" spans="1:4" x14ac:dyDescent="0.25">
      <c r="A1449" t="str">
        <f>T("870540")</f>
        <v>870540</v>
      </c>
      <c r="B1449" t="str">
        <f>T("Camions-bétonnières")</f>
        <v>Camions-bétonnières</v>
      </c>
    </row>
    <row r="1450" spans="1:4" x14ac:dyDescent="0.25">
      <c r="A1450" t="str">
        <f>T("   ZZZ_Monde")</f>
        <v xml:space="preserve">   ZZZ_Monde</v>
      </c>
      <c r="B1450" t="str">
        <f>T("   ZZZ_Monde")</f>
        <v xml:space="preserve">   ZZZ_Monde</v>
      </c>
      <c r="C1450">
        <v>56858612</v>
      </c>
      <c r="D1450">
        <v>16100</v>
      </c>
    </row>
    <row r="1451" spans="1:4" x14ac:dyDescent="0.25">
      <c r="A1451" t="str">
        <f>T("   ML")</f>
        <v xml:space="preserve">   ML</v>
      </c>
      <c r="B1451" t="str">
        <f>T("   Mali")</f>
        <v xml:space="preserve">   Mali</v>
      </c>
      <c r="C1451">
        <v>56858612</v>
      </c>
      <c r="D1451">
        <v>16100</v>
      </c>
    </row>
    <row r="1452" spans="1:4" x14ac:dyDescent="0.25">
      <c r="A1452" t="str">
        <f>T("870600")</f>
        <v>870600</v>
      </c>
      <c r="B1452"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453" spans="1:4" x14ac:dyDescent="0.25">
      <c r="A1453" t="str">
        <f>T("   ZZZ_Monde")</f>
        <v xml:space="preserve">   ZZZ_Monde</v>
      </c>
      <c r="B1453" t="str">
        <f>T("   ZZZ_Monde")</f>
        <v xml:space="preserve">   ZZZ_Monde</v>
      </c>
      <c r="C1453">
        <v>150000</v>
      </c>
      <c r="D1453">
        <v>1000</v>
      </c>
    </row>
    <row r="1454" spans="1:4" x14ac:dyDescent="0.25">
      <c r="A1454" t="str">
        <f>T("   CG")</f>
        <v xml:space="preserve">   CG</v>
      </c>
      <c r="B1454" t="str">
        <f>T("   Congo (Brazzaville)")</f>
        <v xml:space="preserve">   Congo (Brazzaville)</v>
      </c>
      <c r="C1454">
        <v>150000</v>
      </c>
      <c r="D1454">
        <v>1000</v>
      </c>
    </row>
    <row r="1455" spans="1:4" x14ac:dyDescent="0.25">
      <c r="A1455" t="str">
        <f>T("870839")</f>
        <v>870839</v>
      </c>
      <c r="B1455" t="str">
        <f>T("FREINS ET SERVO-FREINS, ET LEURS PARTIES, POUR DE TRACTEURS, VÉHICULES POUR LE TRANSPORT DE &gt;= 10 PERSONNES, CHAUFFEUR INCLUS, VOITURES DE TOURISME, VÉHICULES POUR LE TRANSPORT DE MARCHANDISES ET VÉHICULES À USAGES SPÉCIAUX, N.D.A.")</f>
        <v>FREINS ET SERVO-FREINS, ET LEURS PARTIES, POUR DE TRACTEURS, VÉHICULES POUR LE TRANSPORT DE &gt;= 10 PERSONNES, CHAUFFEUR INCLUS, VOITURES DE TOURISME, VÉHICULES POUR LE TRANSPORT DE MARCHANDISES ET VÉHICULES À USAGES SPÉCIAUX, N.D.A.</v>
      </c>
    </row>
    <row r="1456" spans="1:4" x14ac:dyDescent="0.25">
      <c r="A1456" t="str">
        <f>T("   ZZZ_Monde")</f>
        <v xml:space="preserve">   ZZZ_Monde</v>
      </c>
      <c r="B1456" t="str">
        <f>T("   ZZZ_Monde")</f>
        <v xml:space="preserve">   ZZZ_Monde</v>
      </c>
      <c r="C1456">
        <v>2850000</v>
      </c>
      <c r="D1456">
        <v>650</v>
      </c>
    </row>
    <row r="1457" spans="1:4" x14ac:dyDescent="0.25">
      <c r="A1457" t="str">
        <f>T("   ML")</f>
        <v xml:space="preserve">   ML</v>
      </c>
      <c r="B1457" t="str">
        <f>T("   Mali")</f>
        <v xml:space="preserve">   Mali</v>
      </c>
      <c r="C1457">
        <v>2850000</v>
      </c>
      <c r="D1457">
        <v>650</v>
      </c>
    </row>
    <row r="1458" spans="1:4" x14ac:dyDescent="0.25">
      <c r="A1458" t="str">
        <f>T("870899")</f>
        <v>870899</v>
      </c>
      <c r="B1458"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459" spans="1:4" x14ac:dyDescent="0.25">
      <c r="A1459" t="str">
        <f>T("   ZZZ_Monde")</f>
        <v xml:space="preserve">   ZZZ_Monde</v>
      </c>
      <c r="B1459" t="str">
        <f>T("   ZZZ_Monde")</f>
        <v xml:space="preserve">   ZZZ_Monde</v>
      </c>
      <c r="C1459">
        <v>22042060</v>
      </c>
      <c r="D1459">
        <v>15738</v>
      </c>
    </row>
    <row r="1460" spans="1:4" x14ac:dyDescent="0.25">
      <c r="A1460" t="str">
        <f>T("   GA")</f>
        <v xml:space="preserve">   GA</v>
      </c>
      <c r="B1460" t="str">
        <f>T("   Gabon")</f>
        <v xml:space="preserve">   Gabon</v>
      </c>
      <c r="C1460">
        <v>20542060</v>
      </c>
      <c r="D1460">
        <v>13738</v>
      </c>
    </row>
    <row r="1461" spans="1:4" x14ac:dyDescent="0.25">
      <c r="A1461" t="str">
        <f>T("   US")</f>
        <v xml:space="preserve">   US</v>
      </c>
      <c r="B1461" t="str">
        <f>T("   Etats-Unis")</f>
        <v xml:space="preserve">   Etats-Unis</v>
      </c>
      <c r="C1461">
        <v>1500000</v>
      </c>
      <c r="D1461">
        <v>2000</v>
      </c>
    </row>
    <row r="1462" spans="1:4" x14ac:dyDescent="0.25">
      <c r="A1462" t="str">
        <f>T("871120")</f>
        <v>871120</v>
      </c>
      <c r="B1462" t="str">
        <f>T("Motocycles à moteur à piston alternatif, cylindrée &gt; 50 cm³ mais &lt;= 250 cm³")</f>
        <v>Motocycles à moteur à piston alternatif, cylindrée &gt; 50 cm³ mais &lt;= 250 cm³</v>
      </c>
    </row>
    <row r="1463" spans="1:4" x14ac:dyDescent="0.25">
      <c r="A1463" t="str">
        <f>T("   ZZZ_Monde")</f>
        <v xml:space="preserve">   ZZZ_Monde</v>
      </c>
      <c r="B1463" t="str">
        <f>T("   ZZZ_Monde")</f>
        <v xml:space="preserve">   ZZZ_Monde</v>
      </c>
      <c r="C1463">
        <v>14586424</v>
      </c>
      <c r="D1463">
        <v>2876</v>
      </c>
    </row>
    <row r="1464" spans="1:4" x14ac:dyDescent="0.25">
      <c r="A1464" t="str">
        <f>T("   ES")</f>
        <v xml:space="preserve">   ES</v>
      </c>
      <c r="B1464" t="str">
        <f>T("   Espagne")</f>
        <v xml:space="preserve">   Espagne</v>
      </c>
      <c r="C1464">
        <v>180000</v>
      </c>
      <c r="D1464">
        <v>120</v>
      </c>
    </row>
    <row r="1465" spans="1:4" x14ac:dyDescent="0.25">
      <c r="A1465" t="str">
        <f>T("   FR")</f>
        <v xml:space="preserve">   FR</v>
      </c>
      <c r="B1465" t="str">
        <f>T("   France")</f>
        <v xml:space="preserve">   France</v>
      </c>
      <c r="C1465">
        <v>11626424</v>
      </c>
      <c r="D1465">
        <v>760</v>
      </c>
    </row>
    <row r="1466" spans="1:4" x14ac:dyDescent="0.25">
      <c r="A1466" t="str">
        <f>T("   GP")</f>
        <v xml:space="preserve">   GP</v>
      </c>
      <c r="B1466" t="str">
        <f>T("   Guadeloupe")</f>
        <v xml:space="preserve">   Guadeloupe</v>
      </c>
      <c r="C1466">
        <v>590000</v>
      </c>
      <c r="D1466">
        <v>800</v>
      </c>
    </row>
    <row r="1467" spans="1:4" x14ac:dyDescent="0.25">
      <c r="A1467" t="str">
        <f>T("   GQ")</f>
        <v xml:space="preserve">   GQ</v>
      </c>
      <c r="B1467" t="str">
        <f>T("   Guinée Equatoriale")</f>
        <v xml:space="preserve">   Guinée Equatoriale</v>
      </c>
      <c r="C1467">
        <v>2190000</v>
      </c>
      <c r="D1467">
        <v>1196</v>
      </c>
    </row>
    <row r="1468" spans="1:4" x14ac:dyDescent="0.25">
      <c r="A1468" t="str">
        <f>T("871150")</f>
        <v>871150</v>
      </c>
      <c r="B1468" t="str">
        <f>T("Motocycles à moteur à piston alternatif, cylindrée &gt; 800 cm³")</f>
        <v>Motocycles à moteur à piston alternatif, cylindrée &gt; 800 cm³</v>
      </c>
    </row>
    <row r="1469" spans="1:4" x14ac:dyDescent="0.25">
      <c r="A1469" t="str">
        <f>T("   ZZZ_Monde")</f>
        <v xml:space="preserve">   ZZZ_Monde</v>
      </c>
      <c r="B1469" t="str">
        <f>T("   ZZZ_Monde")</f>
        <v xml:space="preserve">   ZZZ_Monde</v>
      </c>
      <c r="C1469">
        <v>514419</v>
      </c>
      <c r="D1469">
        <v>600</v>
      </c>
    </row>
    <row r="1470" spans="1:4" x14ac:dyDescent="0.25">
      <c r="A1470" t="str">
        <f>T("   FR")</f>
        <v xml:space="preserve">   FR</v>
      </c>
      <c r="B1470" t="str">
        <f>T("   France")</f>
        <v xml:space="preserve">   France</v>
      </c>
      <c r="C1470">
        <v>514419</v>
      </c>
      <c r="D1470">
        <v>600</v>
      </c>
    </row>
    <row r="1471" spans="1:4" x14ac:dyDescent="0.25">
      <c r="A1471" t="str">
        <f>T("871190")</f>
        <v>871190</v>
      </c>
      <c r="B1471" t="str">
        <f>T("Side-cars")</f>
        <v>Side-cars</v>
      </c>
    </row>
    <row r="1472" spans="1:4" x14ac:dyDescent="0.25">
      <c r="A1472" t="str">
        <f>T("   ZZZ_Monde")</f>
        <v xml:space="preserve">   ZZZ_Monde</v>
      </c>
      <c r="B1472" t="str">
        <f>T("   ZZZ_Monde")</f>
        <v xml:space="preserve">   ZZZ_Monde</v>
      </c>
      <c r="C1472">
        <v>1030000</v>
      </c>
      <c r="D1472">
        <v>801</v>
      </c>
    </row>
    <row r="1473" spans="1:4" x14ac:dyDescent="0.25">
      <c r="A1473" t="str">
        <f>T("   FR")</f>
        <v xml:space="preserve">   FR</v>
      </c>
      <c r="B1473" t="str">
        <f>T("   France")</f>
        <v xml:space="preserve">   France</v>
      </c>
      <c r="C1473">
        <v>530000</v>
      </c>
      <c r="D1473">
        <v>800</v>
      </c>
    </row>
    <row r="1474" spans="1:4" x14ac:dyDescent="0.25">
      <c r="A1474" t="str">
        <f>T("   LB")</f>
        <v xml:space="preserve">   LB</v>
      </c>
      <c r="B1474" t="str">
        <f>T("   Liban")</f>
        <v xml:space="preserve">   Liban</v>
      </c>
      <c r="C1474">
        <v>500000</v>
      </c>
      <c r="D1474">
        <v>1</v>
      </c>
    </row>
    <row r="1475" spans="1:4" x14ac:dyDescent="0.25">
      <c r="A1475" t="str">
        <f>T("871620")</f>
        <v>871620</v>
      </c>
      <c r="B1475" t="str">
        <f>T("Remorques et semi-remorques autochargeuses ou autodéchargeuses, pour usages agricoles")</f>
        <v>Remorques et semi-remorques autochargeuses ou autodéchargeuses, pour usages agricoles</v>
      </c>
    </row>
    <row r="1476" spans="1:4" x14ac:dyDescent="0.25">
      <c r="A1476" t="str">
        <f>T("   ZZZ_Monde")</f>
        <v xml:space="preserve">   ZZZ_Monde</v>
      </c>
      <c r="B1476" t="str">
        <f>T("   ZZZ_Monde")</f>
        <v xml:space="preserve">   ZZZ_Monde</v>
      </c>
      <c r="C1476">
        <v>4757045</v>
      </c>
      <c r="D1476">
        <v>9962</v>
      </c>
    </row>
    <row r="1477" spans="1:4" x14ac:dyDescent="0.25">
      <c r="A1477" t="str">
        <f>T("   GA")</f>
        <v xml:space="preserve">   GA</v>
      </c>
      <c r="B1477" t="str">
        <f>T("   Gabon")</f>
        <v xml:space="preserve">   Gabon</v>
      </c>
      <c r="C1477">
        <v>4757045</v>
      </c>
      <c r="D1477">
        <v>9962</v>
      </c>
    </row>
    <row r="1478" spans="1:4" x14ac:dyDescent="0.25">
      <c r="A1478" t="str">
        <f>T("871631")</f>
        <v>871631</v>
      </c>
      <c r="B1478" t="str">
        <f>T("Remorques-citernes ne circulant pas sur rails")</f>
        <v>Remorques-citernes ne circulant pas sur rails</v>
      </c>
    </row>
    <row r="1479" spans="1:4" x14ac:dyDescent="0.25">
      <c r="A1479" t="str">
        <f>T("   ZZZ_Monde")</f>
        <v xml:space="preserve">   ZZZ_Monde</v>
      </c>
      <c r="B1479" t="str">
        <f>T("   ZZZ_Monde")</f>
        <v xml:space="preserve">   ZZZ_Monde</v>
      </c>
      <c r="C1479">
        <v>11719449</v>
      </c>
      <c r="D1479">
        <v>85956</v>
      </c>
    </row>
    <row r="1480" spans="1:4" x14ac:dyDescent="0.25">
      <c r="A1480" t="str">
        <f>T("   GA")</f>
        <v xml:space="preserve">   GA</v>
      </c>
      <c r="B1480" t="str">
        <f>T("   Gabon")</f>
        <v xml:space="preserve">   Gabon</v>
      </c>
      <c r="C1480">
        <v>11719449</v>
      </c>
      <c r="D1480">
        <v>85956</v>
      </c>
    </row>
    <row r="1481" spans="1:4" x14ac:dyDescent="0.25">
      <c r="A1481" t="str">
        <f>T("871640")</f>
        <v>871640</v>
      </c>
      <c r="B1481"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482" spans="1:4" x14ac:dyDescent="0.25">
      <c r="A1482" t="str">
        <f>T("   ZZZ_Monde")</f>
        <v xml:space="preserve">   ZZZ_Monde</v>
      </c>
      <c r="B1482" t="str">
        <f>T("   ZZZ_Monde")</f>
        <v xml:space="preserve">   ZZZ_Monde</v>
      </c>
      <c r="C1482">
        <v>4957335</v>
      </c>
      <c r="D1482">
        <v>25500</v>
      </c>
    </row>
    <row r="1483" spans="1:4" x14ac:dyDescent="0.25">
      <c r="A1483" t="str">
        <f>T("   NG")</f>
        <v xml:space="preserve">   NG</v>
      </c>
      <c r="B1483" t="str">
        <f>T("   Nigéria")</f>
        <v xml:space="preserve">   Nigéria</v>
      </c>
      <c r="C1483">
        <v>457335</v>
      </c>
      <c r="D1483">
        <v>18000</v>
      </c>
    </row>
    <row r="1484" spans="1:4" x14ac:dyDescent="0.25">
      <c r="A1484" t="str">
        <f>T("   TG")</f>
        <v xml:space="preserve">   TG</v>
      </c>
      <c r="B1484" t="str">
        <f>T("   Togo")</f>
        <v xml:space="preserve">   Togo</v>
      </c>
      <c r="C1484">
        <v>4500000</v>
      </c>
      <c r="D1484">
        <v>7500</v>
      </c>
    </row>
    <row r="1485" spans="1:4" x14ac:dyDescent="0.25">
      <c r="A1485" t="str">
        <f>T("871690")</f>
        <v>871690</v>
      </c>
      <c r="B1485" t="str">
        <f>T("PARTIES DE REMORQUES, SEMI-REMORQUES ET AUTRES VÉHICULES NON-AUTOMOBILES, N.D.A.")</f>
        <v>PARTIES DE REMORQUES, SEMI-REMORQUES ET AUTRES VÉHICULES NON-AUTOMOBILES, N.D.A.</v>
      </c>
    </row>
    <row r="1486" spans="1:4" x14ac:dyDescent="0.25">
      <c r="A1486" t="str">
        <f>T("   ZZZ_Monde")</f>
        <v xml:space="preserve">   ZZZ_Monde</v>
      </c>
      <c r="B1486" t="str">
        <f>T("   ZZZ_Monde")</f>
        <v xml:space="preserve">   ZZZ_Monde</v>
      </c>
      <c r="C1486">
        <v>2150000</v>
      </c>
      <c r="D1486">
        <v>8050</v>
      </c>
    </row>
    <row r="1487" spans="1:4" x14ac:dyDescent="0.25">
      <c r="A1487" t="str">
        <f>T("   LB")</f>
        <v xml:space="preserve">   LB</v>
      </c>
      <c r="B1487" t="str">
        <f>T("   Liban")</f>
        <v xml:space="preserve">   Liban</v>
      </c>
      <c r="C1487">
        <v>2000000</v>
      </c>
      <c r="D1487">
        <v>8000</v>
      </c>
    </row>
    <row r="1488" spans="1:4" x14ac:dyDescent="0.25">
      <c r="A1488" t="str">
        <f>T("   TG")</f>
        <v xml:space="preserve">   TG</v>
      </c>
      <c r="B1488" t="str">
        <f>T("   Togo")</f>
        <v xml:space="preserve">   Togo</v>
      </c>
      <c r="C1488">
        <v>150000</v>
      </c>
      <c r="D1488">
        <v>50</v>
      </c>
    </row>
    <row r="1489" spans="1:4" x14ac:dyDescent="0.25">
      <c r="A1489" t="str">
        <f>T("880190")</f>
        <v>880190</v>
      </c>
      <c r="B1489" t="str">
        <f>T("Ballons et dirigeables et autres véhicules aériens (non conçus pour la propulsion à moteur) (sauf planeurs et ailes volantes, cerf-volants pour enfants et ballonnets pour enfants)")</f>
        <v>Ballons et dirigeables et autres véhicules aériens (non conçus pour la propulsion à moteur) (sauf planeurs et ailes volantes, cerf-volants pour enfants et ballonnets pour enfants)</v>
      </c>
    </row>
    <row r="1490" spans="1:4" x14ac:dyDescent="0.25">
      <c r="A1490" t="str">
        <f>T("   ZZZ_Monde")</f>
        <v xml:space="preserve">   ZZZ_Monde</v>
      </c>
      <c r="B1490" t="str">
        <f>T("   ZZZ_Monde")</f>
        <v xml:space="preserve">   ZZZ_Monde</v>
      </c>
      <c r="C1490">
        <v>12922000</v>
      </c>
      <c r="D1490">
        <v>28500</v>
      </c>
    </row>
    <row r="1491" spans="1:4" x14ac:dyDescent="0.25">
      <c r="A1491" t="str">
        <f>T("   AE")</f>
        <v xml:space="preserve">   AE</v>
      </c>
      <c r="B1491" t="str">
        <f>T("   Emirats Arabes Unis")</f>
        <v xml:space="preserve">   Emirats Arabes Unis</v>
      </c>
      <c r="C1491">
        <v>12922000</v>
      </c>
      <c r="D1491">
        <v>28500</v>
      </c>
    </row>
    <row r="1492" spans="1:4" x14ac:dyDescent="0.25">
      <c r="A1492" t="str">
        <f>T("880220")</f>
        <v>880220</v>
      </c>
      <c r="B1492" t="str">
        <f>T("Avions et autres véhicules aériens, conçus pour la propulsion à moteur, sauf hélicoptères et dirigeables, d'un poids à vide &lt;= 2.000 kg")</f>
        <v>Avions et autres véhicules aériens, conçus pour la propulsion à moteur, sauf hélicoptères et dirigeables, d'un poids à vide &lt;= 2.000 kg</v>
      </c>
    </row>
    <row r="1493" spans="1:4" x14ac:dyDescent="0.25">
      <c r="A1493" t="str">
        <f>T("   ZZZ_Monde")</f>
        <v xml:space="preserve">   ZZZ_Monde</v>
      </c>
      <c r="B1493" t="str">
        <f>T("   ZZZ_Monde")</f>
        <v xml:space="preserve">   ZZZ_Monde</v>
      </c>
      <c r="C1493">
        <v>33389779</v>
      </c>
      <c r="D1493">
        <v>280</v>
      </c>
    </row>
    <row r="1494" spans="1:4" x14ac:dyDescent="0.25">
      <c r="A1494" t="str">
        <f>T("   FR")</f>
        <v xml:space="preserve">   FR</v>
      </c>
      <c r="B1494" t="str">
        <f>T("   France")</f>
        <v xml:space="preserve">   France</v>
      </c>
      <c r="C1494">
        <v>33389779</v>
      </c>
      <c r="D1494">
        <v>280</v>
      </c>
    </row>
    <row r="1495" spans="1:4" x14ac:dyDescent="0.25">
      <c r="A1495" t="str">
        <f>T("890110")</f>
        <v>890110</v>
      </c>
      <c r="B1495" t="str">
        <f>T("Paquebots, bateaux de croisières et simil., pour le transport de personnes; transbordeurs")</f>
        <v>Paquebots, bateaux de croisières et simil., pour le transport de personnes; transbordeurs</v>
      </c>
    </row>
    <row r="1496" spans="1:4" x14ac:dyDescent="0.25">
      <c r="A1496" t="str">
        <f>T("   ZZZ_Monde")</f>
        <v xml:space="preserve">   ZZZ_Monde</v>
      </c>
      <c r="B1496" t="str">
        <f>T("   ZZZ_Monde")</f>
        <v xml:space="preserve">   ZZZ_Monde</v>
      </c>
      <c r="C1496">
        <v>2500000</v>
      </c>
      <c r="D1496">
        <v>2648</v>
      </c>
    </row>
    <row r="1497" spans="1:4" x14ac:dyDescent="0.25">
      <c r="A1497" t="str">
        <f>T("   GA")</f>
        <v xml:space="preserve">   GA</v>
      </c>
      <c r="B1497" t="str">
        <f>T("   Gabon")</f>
        <v xml:space="preserve">   Gabon</v>
      </c>
      <c r="C1497">
        <v>2500000</v>
      </c>
      <c r="D1497">
        <v>2648</v>
      </c>
    </row>
    <row r="1498" spans="1:4" x14ac:dyDescent="0.25">
      <c r="A1498" t="str">
        <f>T("890190")</f>
        <v>890190</v>
      </c>
      <c r="B1498" t="str">
        <f>T("Cargos et bateaux pour le transport de personnes et de marchandises (autres que bateaux frigorifiques, bateaux-citernes, cargos et bateaux destinés essentiellement au transport des personnes)")</f>
        <v>Cargos et bateaux pour le transport de personnes et de marchandises (autres que bateaux frigorifiques, bateaux-citernes, cargos et bateaux destinés essentiellement au transport des personnes)</v>
      </c>
    </row>
    <row r="1499" spans="1:4" x14ac:dyDescent="0.25">
      <c r="A1499" t="str">
        <f>T("   ZZZ_Monde")</f>
        <v xml:space="preserve">   ZZZ_Monde</v>
      </c>
      <c r="B1499" t="str">
        <f>T("   ZZZ_Monde")</f>
        <v xml:space="preserve">   ZZZ_Monde</v>
      </c>
      <c r="C1499">
        <v>73795500</v>
      </c>
      <c r="D1499">
        <v>12000</v>
      </c>
    </row>
    <row r="1500" spans="1:4" x14ac:dyDescent="0.25">
      <c r="A1500" t="str">
        <f>T("   TG")</f>
        <v xml:space="preserve">   TG</v>
      </c>
      <c r="B1500" t="str">
        <f>T("   Togo")</f>
        <v xml:space="preserve">   Togo</v>
      </c>
      <c r="C1500">
        <v>73795500</v>
      </c>
      <c r="D1500">
        <v>12000</v>
      </c>
    </row>
    <row r="1501" spans="1:4" x14ac:dyDescent="0.25">
      <c r="A1501" t="str">
        <f>T("890391")</f>
        <v>890391</v>
      </c>
      <c r="B1501" t="str">
        <f>T("Bateaux à voile, de plaisance ou de sport, même avec moteur auxiliaire")</f>
        <v>Bateaux à voile, de plaisance ou de sport, même avec moteur auxiliaire</v>
      </c>
    </row>
    <row r="1502" spans="1:4" x14ac:dyDescent="0.25">
      <c r="A1502" t="str">
        <f>T("   ZZZ_Monde")</f>
        <v xml:space="preserve">   ZZZ_Monde</v>
      </c>
      <c r="B1502" t="str">
        <f>T("   ZZZ_Monde")</f>
        <v xml:space="preserve">   ZZZ_Monde</v>
      </c>
      <c r="C1502">
        <v>300000</v>
      </c>
      <c r="D1502">
        <v>1500</v>
      </c>
    </row>
    <row r="1503" spans="1:4" x14ac:dyDescent="0.25">
      <c r="A1503" t="str">
        <f>T("   GA")</f>
        <v xml:space="preserve">   GA</v>
      </c>
      <c r="B1503" t="str">
        <f>T("   Gabon")</f>
        <v xml:space="preserve">   Gabon</v>
      </c>
      <c r="C1503">
        <v>300000</v>
      </c>
      <c r="D1503">
        <v>1500</v>
      </c>
    </row>
    <row r="1504" spans="1:4" x14ac:dyDescent="0.25">
      <c r="A1504" t="str">
        <f>T("890399")</f>
        <v>890399</v>
      </c>
      <c r="B1504"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505" spans="1:4" x14ac:dyDescent="0.25">
      <c r="A1505" t="str">
        <f>T("   ZZZ_Monde")</f>
        <v xml:space="preserve">   ZZZ_Monde</v>
      </c>
      <c r="B1505" t="str">
        <f>T("   ZZZ_Monde")</f>
        <v xml:space="preserve">   ZZZ_Monde</v>
      </c>
      <c r="C1505">
        <v>1314013</v>
      </c>
      <c r="D1505">
        <v>1091</v>
      </c>
    </row>
    <row r="1506" spans="1:4" x14ac:dyDescent="0.25">
      <c r="A1506" t="str">
        <f>T("   NL")</f>
        <v xml:space="preserve">   NL</v>
      </c>
      <c r="B1506" t="str">
        <f>T("   Pays-bas")</f>
        <v xml:space="preserve">   Pays-bas</v>
      </c>
      <c r="C1506">
        <v>1314013</v>
      </c>
      <c r="D1506">
        <v>1091</v>
      </c>
    </row>
    <row r="1507" spans="1:4" x14ac:dyDescent="0.25">
      <c r="A1507" t="str">
        <f>T("900911")</f>
        <v>900911</v>
      </c>
      <c r="B1507" t="str">
        <f>T("Appareils de photocopie électrostatiques, fonctionnant par reproduction directe de l'image de l'original sur la copie [procédé direct]")</f>
        <v>Appareils de photocopie électrostatiques, fonctionnant par reproduction directe de l'image de l'original sur la copie [procédé direct]</v>
      </c>
    </row>
    <row r="1508" spans="1:4" x14ac:dyDescent="0.25">
      <c r="A1508" t="str">
        <f>T("   ZZZ_Monde")</f>
        <v xml:space="preserve">   ZZZ_Monde</v>
      </c>
      <c r="B1508" t="str">
        <f>T("   ZZZ_Monde")</f>
        <v xml:space="preserve">   ZZZ_Monde</v>
      </c>
      <c r="C1508">
        <v>2220000</v>
      </c>
      <c r="D1508">
        <v>80</v>
      </c>
    </row>
    <row r="1509" spans="1:4" x14ac:dyDescent="0.25">
      <c r="A1509" t="str">
        <f>T("   NE")</f>
        <v xml:space="preserve">   NE</v>
      </c>
      <c r="B1509" t="str">
        <f>T("   Niger")</f>
        <v xml:space="preserve">   Niger</v>
      </c>
      <c r="C1509">
        <v>2220000</v>
      </c>
      <c r="D1509">
        <v>80</v>
      </c>
    </row>
    <row r="1510" spans="1:4" x14ac:dyDescent="0.25">
      <c r="A1510" t="str">
        <f>T("901580")</f>
        <v>901580</v>
      </c>
      <c r="B1510"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511" spans="1:4" x14ac:dyDescent="0.25">
      <c r="A1511" t="str">
        <f>T("   ZZZ_Monde")</f>
        <v xml:space="preserve">   ZZZ_Monde</v>
      </c>
      <c r="B1511" t="str">
        <f>T("   ZZZ_Monde")</f>
        <v xml:space="preserve">   ZZZ_Monde</v>
      </c>
      <c r="C1511">
        <v>92738640</v>
      </c>
      <c r="D1511">
        <v>1950</v>
      </c>
    </row>
    <row r="1512" spans="1:4" x14ac:dyDescent="0.25">
      <c r="A1512" t="str">
        <f>T("   NL")</f>
        <v xml:space="preserve">   NL</v>
      </c>
      <c r="B1512" t="str">
        <f>T("   Pays-bas")</f>
        <v xml:space="preserve">   Pays-bas</v>
      </c>
      <c r="C1512">
        <v>92738640</v>
      </c>
      <c r="D1512">
        <v>1950</v>
      </c>
    </row>
    <row r="1513" spans="1:4" x14ac:dyDescent="0.25">
      <c r="A1513" t="str">
        <f>T("901590")</f>
        <v>901590</v>
      </c>
      <c r="B1513"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514" spans="1:4" x14ac:dyDescent="0.25">
      <c r="A1514" t="str">
        <f>T("   ZZZ_Monde")</f>
        <v xml:space="preserve">   ZZZ_Monde</v>
      </c>
      <c r="B1514" t="str">
        <f>T("   ZZZ_Monde")</f>
        <v xml:space="preserve">   ZZZ_Monde</v>
      </c>
      <c r="C1514">
        <v>3001690</v>
      </c>
      <c r="D1514">
        <v>1316</v>
      </c>
    </row>
    <row r="1515" spans="1:4" x14ac:dyDescent="0.25">
      <c r="A1515" t="str">
        <f>T("   LB")</f>
        <v xml:space="preserve">   LB</v>
      </c>
      <c r="B1515" t="str">
        <f>T("   Liban")</f>
        <v xml:space="preserve">   Liban</v>
      </c>
      <c r="C1515">
        <v>3001690</v>
      </c>
      <c r="D1515">
        <v>1316</v>
      </c>
    </row>
    <row r="1516" spans="1:4" x14ac:dyDescent="0.25">
      <c r="A1516" t="str">
        <f>T("901890")</f>
        <v>901890</v>
      </c>
      <c r="B1516" t="str">
        <f>T("Instruments et appareils pour la médecine, la chirurgie ou l'art vétérinaire, n.d.a.")</f>
        <v>Instruments et appareils pour la médecine, la chirurgie ou l'art vétérinaire, n.d.a.</v>
      </c>
    </row>
    <row r="1517" spans="1:4" x14ac:dyDescent="0.25">
      <c r="A1517" t="str">
        <f>T("   ZZZ_Monde")</f>
        <v xml:space="preserve">   ZZZ_Monde</v>
      </c>
      <c r="B1517" t="str">
        <f>T("   ZZZ_Monde")</f>
        <v xml:space="preserve">   ZZZ_Monde</v>
      </c>
      <c r="C1517">
        <v>17548898</v>
      </c>
      <c r="D1517">
        <v>2803</v>
      </c>
    </row>
    <row r="1518" spans="1:4" x14ac:dyDescent="0.25">
      <c r="A1518" t="str">
        <f>T("   GH")</f>
        <v xml:space="preserve">   GH</v>
      </c>
      <c r="B1518" t="str">
        <f>T("   Ghana")</f>
        <v xml:space="preserve">   Ghana</v>
      </c>
      <c r="C1518">
        <v>17548898</v>
      </c>
      <c r="D1518">
        <v>2803</v>
      </c>
    </row>
    <row r="1519" spans="1:4" x14ac:dyDescent="0.25">
      <c r="A1519" t="str">
        <f>T("901920")</f>
        <v>901920</v>
      </c>
      <c r="B1519"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520" spans="1:4" x14ac:dyDescent="0.25">
      <c r="A1520" t="str">
        <f>T("   ZZZ_Monde")</f>
        <v xml:space="preserve">   ZZZ_Monde</v>
      </c>
      <c r="B1520" t="str">
        <f>T("   ZZZ_Monde")</f>
        <v xml:space="preserve">   ZZZ_Monde</v>
      </c>
      <c r="C1520">
        <v>9885000</v>
      </c>
      <c r="D1520">
        <v>7000</v>
      </c>
    </row>
    <row r="1521" spans="1:4" x14ac:dyDescent="0.25">
      <c r="A1521" t="str">
        <f>T("   CI")</f>
        <v xml:space="preserve">   CI</v>
      </c>
      <c r="B1521" t="str">
        <f>T("   Côte d'Ivoire")</f>
        <v xml:space="preserve">   Côte d'Ivoire</v>
      </c>
      <c r="C1521">
        <v>9885000</v>
      </c>
      <c r="D1521">
        <v>7000</v>
      </c>
    </row>
    <row r="1522" spans="1:4" x14ac:dyDescent="0.25">
      <c r="A1522" t="str">
        <f>T("920790")</f>
        <v>920790</v>
      </c>
      <c r="B1522" t="str">
        <f>T("Accordéons électriques et autres instruments de musique électriques")</f>
        <v>Accordéons électriques et autres instruments de musique électriques</v>
      </c>
    </row>
    <row r="1523" spans="1:4" x14ac:dyDescent="0.25">
      <c r="A1523" t="str">
        <f>T("   ZZZ_Monde")</f>
        <v xml:space="preserve">   ZZZ_Monde</v>
      </c>
      <c r="B1523" t="str">
        <f>T("   ZZZ_Monde")</f>
        <v xml:space="preserve">   ZZZ_Monde</v>
      </c>
      <c r="C1523">
        <v>6470813</v>
      </c>
      <c r="D1523">
        <v>108000</v>
      </c>
    </row>
    <row r="1524" spans="1:4" x14ac:dyDescent="0.25">
      <c r="A1524" t="str">
        <f>T("   NG")</f>
        <v xml:space="preserve">   NG</v>
      </c>
      <c r="B1524" t="str">
        <f>T("   Nigéria")</f>
        <v xml:space="preserve">   Nigéria</v>
      </c>
      <c r="C1524">
        <v>6470813</v>
      </c>
      <c r="D1524">
        <v>108000</v>
      </c>
    </row>
    <row r="1525" spans="1:4" x14ac:dyDescent="0.25">
      <c r="A1525" t="str">
        <f>T("940180")</f>
        <v>940180</v>
      </c>
      <c r="B1525" t="str">
        <f>T("Sièges, n.d.a.")</f>
        <v>Sièges, n.d.a.</v>
      </c>
    </row>
    <row r="1526" spans="1:4" x14ac:dyDescent="0.25">
      <c r="A1526" t="str">
        <f>T("   ZZZ_Monde")</f>
        <v xml:space="preserve">   ZZZ_Monde</v>
      </c>
      <c r="B1526" t="str">
        <f>T("   ZZZ_Monde")</f>
        <v xml:space="preserve">   ZZZ_Monde</v>
      </c>
      <c r="C1526">
        <v>2471713</v>
      </c>
      <c r="D1526">
        <v>10600</v>
      </c>
    </row>
    <row r="1527" spans="1:4" x14ac:dyDescent="0.25">
      <c r="A1527" t="str">
        <f>T("   FR")</f>
        <v xml:space="preserve">   FR</v>
      </c>
      <c r="B1527" t="str">
        <f>T("   France")</f>
        <v xml:space="preserve">   France</v>
      </c>
      <c r="C1527">
        <v>1553313</v>
      </c>
      <c r="D1527">
        <v>5000</v>
      </c>
    </row>
    <row r="1528" spans="1:4" x14ac:dyDescent="0.25">
      <c r="A1528" t="str">
        <f>T("   NG")</f>
        <v xml:space="preserve">   NG</v>
      </c>
      <c r="B1528" t="str">
        <f>T("   Nigéria")</f>
        <v xml:space="preserve">   Nigéria</v>
      </c>
      <c r="C1528">
        <v>918400</v>
      </c>
      <c r="D1528">
        <v>5600</v>
      </c>
    </row>
    <row r="1529" spans="1:4" x14ac:dyDescent="0.25">
      <c r="A1529" t="str">
        <f>T("940310")</f>
        <v>940310</v>
      </c>
      <c r="B1529" t="str">
        <f>T("Meubles de bureau en métal (sauf sièges)")</f>
        <v>Meubles de bureau en métal (sauf sièges)</v>
      </c>
    </row>
    <row r="1530" spans="1:4" x14ac:dyDescent="0.25">
      <c r="A1530" t="str">
        <f>T("   ZZZ_Monde")</f>
        <v xml:space="preserve">   ZZZ_Monde</v>
      </c>
      <c r="B1530" t="str">
        <f>T("   ZZZ_Monde")</f>
        <v xml:space="preserve">   ZZZ_Monde</v>
      </c>
      <c r="C1530">
        <v>8000000</v>
      </c>
      <c r="D1530">
        <v>4800</v>
      </c>
    </row>
    <row r="1531" spans="1:4" x14ac:dyDescent="0.25">
      <c r="A1531" t="str">
        <f>T("   GA")</f>
        <v xml:space="preserve">   GA</v>
      </c>
      <c r="B1531" t="str">
        <f>T("   Gabon")</f>
        <v xml:space="preserve">   Gabon</v>
      </c>
      <c r="C1531">
        <v>8000000</v>
      </c>
      <c r="D1531">
        <v>4800</v>
      </c>
    </row>
    <row r="1532" spans="1:4" x14ac:dyDescent="0.25">
      <c r="A1532" t="str">
        <f>T("940320")</f>
        <v>940320</v>
      </c>
      <c r="B1532" t="str">
        <f>T("Meubles en métal, sauf meubles de bureau, sièges et mobilier pour la médecine, la chirurgie, l'art dentaire ou vétérinaire")</f>
        <v>Meubles en métal, sauf meubles de bureau, sièges et mobilier pour la médecine, la chirurgie, l'art dentaire ou vétérinaire</v>
      </c>
    </row>
    <row r="1533" spans="1:4" x14ac:dyDescent="0.25">
      <c r="A1533" t="str">
        <f>T("   ZZZ_Monde")</f>
        <v xml:space="preserve">   ZZZ_Monde</v>
      </c>
      <c r="B1533" t="str">
        <f>T("   ZZZ_Monde")</f>
        <v xml:space="preserve">   ZZZ_Monde</v>
      </c>
      <c r="C1533">
        <v>1504570</v>
      </c>
      <c r="D1533">
        <v>2614</v>
      </c>
    </row>
    <row r="1534" spans="1:4" x14ac:dyDescent="0.25">
      <c r="A1534" t="str">
        <f>T("   CG")</f>
        <v xml:space="preserve">   CG</v>
      </c>
      <c r="B1534" t="str">
        <f>T("   Congo (Brazzaville)")</f>
        <v xml:space="preserve">   Congo (Brazzaville)</v>
      </c>
      <c r="C1534">
        <v>450000</v>
      </c>
      <c r="D1534">
        <v>300</v>
      </c>
    </row>
    <row r="1535" spans="1:4" x14ac:dyDescent="0.25">
      <c r="A1535" t="str">
        <f>T("   TG")</f>
        <v xml:space="preserve">   TG</v>
      </c>
      <c r="B1535" t="str">
        <f>T("   Togo")</f>
        <v xml:space="preserve">   Togo</v>
      </c>
      <c r="C1535">
        <v>1054570</v>
      </c>
      <c r="D1535">
        <v>2314</v>
      </c>
    </row>
    <row r="1536" spans="1:4" x14ac:dyDescent="0.25">
      <c r="A1536" t="str">
        <f>T("940340")</f>
        <v>940340</v>
      </c>
      <c r="B1536" t="str">
        <f>T("Meubles de cuisine, en bois (sauf sièges)")</f>
        <v>Meubles de cuisine, en bois (sauf sièges)</v>
      </c>
    </row>
    <row r="1537" spans="1:4" x14ac:dyDescent="0.25">
      <c r="A1537" t="str">
        <f>T("   ZZZ_Monde")</f>
        <v xml:space="preserve">   ZZZ_Monde</v>
      </c>
      <c r="B1537" t="str">
        <f>T("   ZZZ_Monde")</f>
        <v xml:space="preserve">   ZZZ_Monde</v>
      </c>
      <c r="C1537">
        <v>250000</v>
      </c>
      <c r="D1537">
        <v>1000</v>
      </c>
    </row>
    <row r="1538" spans="1:4" x14ac:dyDescent="0.25">
      <c r="A1538" t="str">
        <f>T("   SN")</f>
        <v xml:space="preserve">   SN</v>
      </c>
      <c r="B1538" t="str">
        <f>T("   Sénégal")</f>
        <v xml:space="preserve">   Sénégal</v>
      </c>
      <c r="C1538">
        <v>250000</v>
      </c>
      <c r="D1538">
        <v>1000</v>
      </c>
    </row>
    <row r="1539" spans="1:4" x14ac:dyDescent="0.25">
      <c r="A1539" t="str">
        <f>T("940350")</f>
        <v>940350</v>
      </c>
      <c r="B1539" t="str">
        <f>T("Meubles pour chambres à coucher, en bois (sauf sièges)")</f>
        <v>Meubles pour chambres à coucher, en bois (sauf sièges)</v>
      </c>
    </row>
    <row r="1540" spans="1:4" x14ac:dyDescent="0.25">
      <c r="A1540" t="str">
        <f>T("   ZZZ_Monde")</f>
        <v xml:space="preserve">   ZZZ_Monde</v>
      </c>
      <c r="B1540" t="str">
        <f>T("   ZZZ_Monde")</f>
        <v xml:space="preserve">   ZZZ_Monde</v>
      </c>
      <c r="C1540">
        <v>94208600</v>
      </c>
      <c r="D1540">
        <v>93835</v>
      </c>
    </row>
    <row r="1541" spans="1:4" x14ac:dyDescent="0.25">
      <c r="A1541" t="str">
        <f>T("   BE")</f>
        <v xml:space="preserve">   BE</v>
      </c>
      <c r="B1541" t="str">
        <f>T("   Belgique")</f>
        <v xml:space="preserve">   Belgique</v>
      </c>
      <c r="C1541">
        <v>6850000</v>
      </c>
      <c r="D1541">
        <v>12400</v>
      </c>
    </row>
    <row r="1542" spans="1:4" x14ac:dyDescent="0.25">
      <c r="A1542" t="str">
        <f>T("   BF")</f>
        <v xml:space="preserve">   BF</v>
      </c>
      <c r="B1542" t="str">
        <f>T("   Burkina Faso")</f>
        <v xml:space="preserve">   Burkina Faso</v>
      </c>
      <c r="C1542">
        <v>500000</v>
      </c>
      <c r="D1542">
        <v>450</v>
      </c>
    </row>
    <row r="1543" spans="1:4" x14ac:dyDescent="0.25">
      <c r="A1543" t="str">
        <f>T("   BI")</f>
        <v xml:space="preserve">   BI</v>
      </c>
      <c r="B1543" t="str">
        <f>T("   Burundi")</f>
        <v xml:space="preserve">   Burundi</v>
      </c>
      <c r="C1543">
        <v>2300000</v>
      </c>
      <c r="D1543">
        <v>1700</v>
      </c>
    </row>
    <row r="1544" spans="1:4" x14ac:dyDescent="0.25">
      <c r="A1544" t="str">
        <f>T("   CA")</f>
        <v xml:space="preserve">   CA</v>
      </c>
      <c r="B1544" t="str">
        <f>T("   Canada")</f>
        <v xml:space="preserve">   Canada</v>
      </c>
      <c r="C1544">
        <v>1000000</v>
      </c>
      <c r="D1544">
        <v>1200</v>
      </c>
    </row>
    <row r="1545" spans="1:4" x14ac:dyDescent="0.25">
      <c r="A1545" t="str">
        <f>T("   CD")</f>
        <v xml:space="preserve">   CD</v>
      </c>
      <c r="B1545" t="str">
        <f>T("   Congo, République Démocratique")</f>
        <v xml:space="preserve">   Congo, République Démocratique</v>
      </c>
      <c r="C1545">
        <v>600000</v>
      </c>
      <c r="D1545">
        <v>805</v>
      </c>
    </row>
    <row r="1546" spans="1:4" x14ac:dyDescent="0.25">
      <c r="A1546" t="str">
        <f>T("   CL")</f>
        <v xml:space="preserve">   CL</v>
      </c>
      <c r="B1546" t="str">
        <f>T("   Chili")</f>
        <v xml:space="preserve">   Chili</v>
      </c>
      <c r="C1546">
        <v>1200000</v>
      </c>
      <c r="D1546">
        <v>1600</v>
      </c>
    </row>
    <row r="1547" spans="1:4" x14ac:dyDescent="0.25">
      <c r="A1547" t="str">
        <f>T("   CM")</f>
        <v xml:space="preserve">   CM</v>
      </c>
      <c r="B1547" t="str">
        <f>T("   Cameroun")</f>
        <v xml:space="preserve">   Cameroun</v>
      </c>
      <c r="C1547">
        <v>2800000</v>
      </c>
      <c r="D1547">
        <v>4300</v>
      </c>
    </row>
    <row r="1548" spans="1:4" x14ac:dyDescent="0.25">
      <c r="A1548" t="str">
        <f>T("   DE")</f>
        <v xml:space="preserve">   DE</v>
      </c>
      <c r="B1548" t="str">
        <f>T("   Allemagne")</f>
        <v xml:space="preserve">   Allemagne</v>
      </c>
      <c r="C1548">
        <v>4100000</v>
      </c>
      <c r="D1548">
        <v>5200</v>
      </c>
    </row>
    <row r="1549" spans="1:4" x14ac:dyDescent="0.25">
      <c r="A1549" t="str">
        <f>T("   DZ")</f>
        <v xml:space="preserve">   DZ</v>
      </c>
      <c r="B1549" t="str">
        <f>T("   Algérie")</f>
        <v xml:space="preserve">   Algérie</v>
      </c>
      <c r="C1549">
        <v>700000</v>
      </c>
      <c r="D1549">
        <v>800</v>
      </c>
    </row>
    <row r="1550" spans="1:4" x14ac:dyDescent="0.25">
      <c r="A1550" t="str">
        <f>T("   FR")</f>
        <v xml:space="preserve">   FR</v>
      </c>
      <c r="B1550" t="str">
        <f>T("   France")</f>
        <v xml:space="preserve">   France</v>
      </c>
      <c r="C1550">
        <v>53208600</v>
      </c>
      <c r="D1550">
        <v>36650</v>
      </c>
    </row>
    <row r="1551" spans="1:4" x14ac:dyDescent="0.25">
      <c r="A1551" t="str">
        <f>T("   GA")</f>
        <v xml:space="preserve">   GA</v>
      </c>
      <c r="B1551" t="str">
        <f>T("   Gabon")</f>
        <v xml:space="preserve">   Gabon</v>
      </c>
      <c r="C1551">
        <v>1400000</v>
      </c>
      <c r="D1551">
        <v>2200</v>
      </c>
    </row>
    <row r="1552" spans="1:4" x14ac:dyDescent="0.25">
      <c r="A1552" t="str">
        <f>T("   GN")</f>
        <v xml:space="preserve">   GN</v>
      </c>
      <c r="B1552" t="str">
        <f>T("   Guinée")</f>
        <v xml:space="preserve">   Guinée</v>
      </c>
      <c r="C1552">
        <v>1200000</v>
      </c>
      <c r="D1552">
        <v>2500</v>
      </c>
    </row>
    <row r="1553" spans="1:4" x14ac:dyDescent="0.25">
      <c r="A1553" t="str">
        <f>T("   GP")</f>
        <v xml:space="preserve">   GP</v>
      </c>
      <c r="B1553" t="str">
        <f>T("   Guadeloupe")</f>
        <v xml:space="preserve">   Guadeloupe</v>
      </c>
      <c r="C1553">
        <v>1300000</v>
      </c>
      <c r="D1553">
        <v>2600</v>
      </c>
    </row>
    <row r="1554" spans="1:4" x14ac:dyDescent="0.25">
      <c r="A1554" t="str">
        <f>T("   LR")</f>
        <v xml:space="preserve">   LR</v>
      </c>
      <c r="B1554" t="str">
        <f>T("   Libéria")</f>
        <v xml:space="preserve">   Libéria</v>
      </c>
      <c r="C1554">
        <v>1000000</v>
      </c>
      <c r="D1554">
        <v>1500</v>
      </c>
    </row>
    <row r="1555" spans="1:4" x14ac:dyDescent="0.25">
      <c r="A1555" t="str">
        <f>T("   MA")</f>
        <v xml:space="preserve">   MA</v>
      </c>
      <c r="B1555" t="str">
        <f>T("   Maroc")</f>
        <v xml:space="preserve">   Maroc</v>
      </c>
      <c r="C1555">
        <v>2100000</v>
      </c>
      <c r="D1555">
        <v>2700</v>
      </c>
    </row>
    <row r="1556" spans="1:4" x14ac:dyDescent="0.25">
      <c r="A1556" t="str">
        <f>T("   ML")</f>
        <v xml:space="preserve">   ML</v>
      </c>
      <c r="B1556" t="str">
        <f>T("   Mali")</f>
        <v xml:space="preserve">   Mali</v>
      </c>
      <c r="C1556">
        <v>600000</v>
      </c>
      <c r="D1556">
        <v>700</v>
      </c>
    </row>
    <row r="1557" spans="1:4" x14ac:dyDescent="0.25">
      <c r="A1557" t="str">
        <f>T("   MQ")</f>
        <v xml:space="preserve">   MQ</v>
      </c>
      <c r="B1557" t="str">
        <f>T("   Martinique")</f>
        <v xml:space="preserve">   Martinique</v>
      </c>
      <c r="C1557">
        <v>750000</v>
      </c>
      <c r="D1557">
        <v>1000</v>
      </c>
    </row>
    <row r="1558" spans="1:4" x14ac:dyDescent="0.25">
      <c r="A1558" t="str">
        <f>T("   NE")</f>
        <v xml:space="preserve">   NE</v>
      </c>
      <c r="B1558" t="str">
        <f>T("   Niger")</f>
        <v xml:space="preserve">   Niger</v>
      </c>
      <c r="C1558">
        <v>1900000</v>
      </c>
      <c r="D1558">
        <v>3200</v>
      </c>
    </row>
    <row r="1559" spans="1:4" x14ac:dyDescent="0.25">
      <c r="A1559" t="str">
        <f>T("   NL")</f>
        <v xml:space="preserve">   NL</v>
      </c>
      <c r="B1559" t="str">
        <f>T("   Pays-bas")</f>
        <v xml:space="preserve">   Pays-bas</v>
      </c>
      <c r="C1559">
        <v>900000</v>
      </c>
      <c r="D1559">
        <v>1000</v>
      </c>
    </row>
    <row r="1560" spans="1:4" x14ac:dyDescent="0.25">
      <c r="A1560" t="str">
        <f>T("   RW")</f>
        <v xml:space="preserve">   RW</v>
      </c>
      <c r="B1560" t="str">
        <f>T("   Rwanda")</f>
        <v xml:space="preserve">   Rwanda</v>
      </c>
      <c r="C1560">
        <v>1500000</v>
      </c>
      <c r="D1560">
        <v>2800</v>
      </c>
    </row>
    <row r="1561" spans="1:4" x14ac:dyDescent="0.25">
      <c r="A1561" t="str">
        <f>T("   SN")</f>
        <v xml:space="preserve">   SN</v>
      </c>
      <c r="B1561" t="str">
        <f>T("   Sénégal")</f>
        <v xml:space="preserve">   Sénégal</v>
      </c>
      <c r="C1561">
        <v>1500000</v>
      </c>
      <c r="D1561">
        <v>880</v>
      </c>
    </row>
    <row r="1562" spans="1:4" x14ac:dyDescent="0.25">
      <c r="A1562" t="str">
        <f>T("   TD")</f>
        <v xml:space="preserve">   TD</v>
      </c>
      <c r="B1562" t="str">
        <f>T("   Tchad")</f>
        <v xml:space="preserve">   Tchad</v>
      </c>
      <c r="C1562">
        <v>1800000</v>
      </c>
      <c r="D1562">
        <v>3800</v>
      </c>
    </row>
    <row r="1563" spans="1:4" x14ac:dyDescent="0.25">
      <c r="A1563" t="str">
        <f>T("   TZ")</f>
        <v xml:space="preserve">   TZ</v>
      </c>
      <c r="B1563" t="str">
        <f>T("   Tanzanie")</f>
        <v xml:space="preserve">   Tanzanie</v>
      </c>
      <c r="C1563">
        <v>1400000</v>
      </c>
      <c r="D1563">
        <v>1150</v>
      </c>
    </row>
    <row r="1564" spans="1:4" x14ac:dyDescent="0.25">
      <c r="A1564" t="str">
        <f>T("   UG")</f>
        <v xml:space="preserve">   UG</v>
      </c>
      <c r="B1564" t="str">
        <f>T("   Ouganda")</f>
        <v xml:space="preserve">   Ouganda</v>
      </c>
      <c r="C1564">
        <v>800000</v>
      </c>
      <c r="D1564">
        <v>700</v>
      </c>
    </row>
    <row r="1565" spans="1:4" x14ac:dyDescent="0.25">
      <c r="A1565" t="str">
        <f>T("   US")</f>
        <v xml:space="preserve">   US</v>
      </c>
      <c r="B1565" t="str">
        <f>T("   Etats-Unis")</f>
        <v xml:space="preserve">   Etats-Unis</v>
      </c>
      <c r="C1565">
        <v>2100000</v>
      </c>
      <c r="D1565">
        <v>1500</v>
      </c>
    </row>
    <row r="1566" spans="1:4" x14ac:dyDescent="0.25">
      <c r="A1566" t="str">
        <f>T("   ZA")</f>
        <v xml:space="preserve">   ZA</v>
      </c>
      <c r="B1566" t="str">
        <f>T("   Afrique du Sud")</f>
        <v xml:space="preserve">   Afrique du Sud</v>
      </c>
      <c r="C1566">
        <v>700000</v>
      </c>
      <c r="D1566">
        <v>500</v>
      </c>
    </row>
    <row r="1567" spans="1:4" x14ac:dyDescent="0.25">
      <c r="A1567" t="str">
        <f>T("940360")</f>
        <v>940360</v>
      </c>
      <c r="B1567" t="str">
        <f>T("Meubles en bois (autres que pour bureaux, cuisines ou chambres à coucher et autres que sièges)")</f>
        <v>Meubles en bois (autres que pour bureaux, cuisines ou chambres à coucher et autres que sièges)</v>
      </c>
    </row>
    <row r="1568" spans="1:4" x14ac:dyDescent="0.25">
      <c r="A1568" t="str">
        <f>T("   ZZZ_Monde")</f>
        <v xml:space="preserve">   ZZZ_Monde</v>
      </c>
      <c r="B1568" t="str">
        <f>T("   ZZZ_Monde")</f>
        <v xml:space="preserve">   ZZZ_Monde</v>
      </c>
      <c r="C1568">
        <v>119850198</v>
      </c>
      <c r="D1568">
        <v>67883</v>
      </c>
    </row>
    <row r="1569" spans="1:4" x14ac:dyDescent="0.25">
      <c r="A1569" t="str">
        <f>T("   BE")</f>
        <v xml:space="preserve">   BE</v>
      </c>
      <c r="B1569" t="str">
        <f>T("   Belgique")</f>
        <v xml:space="preserve">   Belgique</v>
      </c>
      <c r="C1569">
        <v>2150000</v>
      </c>
      <c r="D1569">
        <v>3000</v>
      </c>
    </row>
    <row r="1570" spans="1:4" x14ac:dyDescent="0.25">
      <c r="A1570" t="str">
        <f>T("   BF")</f>
        <v xml:space="preserve">   BF</v>
      </c>
      <c r="B1570" t="str">
        <f>T("   Burkina Faso")</f>
        <v xml:space="preserve">   Burkina Faso</v>
      </c>
      <c r="C1570">
        <v>780000</v>
      </c>
      <c r="D1570">
        <v>500</v>
      </c>
    </row>
    <row r="1571" spans="1:4" x14ac:dyDescent="0.25">
      <c r="A1571" t="str">
        <f>T("   CD")</f>
        <v xml:space="preserve">   CD</v>
      </c>
      <c r="B1571" t="str">
        <f>T("   Congo, République Démocratique")</f>
        <v xml:space="preserve">   Congo, République Démocratique</v>
      </c>
      <c r="C1571">
        <v>2850000</v>
      </c>
      <c r="D1571">
        <v>1850</v>
      </c>
    </row>
    <row r="1572" spans="1:4" x14ac:dyDescent="0.25">
      <c r="A1572" t="str">
        <f>T("   CG")</f>
        <v xml:space="preserve">   CG</v>
      </c>
      <c r="B1572" t="str">
        <f>T("   Congo (Brazzaville)")</f>
        <v xml:space="preserve">   Congo (Brazzaville)</v>
      </c>
      <c r="C1572">
        <v>1785000</v>
      </c>
      <c r="D1572">
        <v>2000</v>
      </c>
    </row>
    <row r="1573" spans="1:4" x14ac:dyDescent="0.25">
      <c r="A1573" t="str">
        <f>T("   CI")</f>
        <v xml:space="preserve">   CI</v>
      </c>
      <c r="B1573" t="str">
        <f>T("   Côte d'Ivoire")</f>
        <v xml:space="preserve">   Côte d'Ivoire</v>
      </c>
      <c r="C1573">
        <v>1301000</v>
      </c>
      <c r="D1573">
        <v>3400</v>
      </c>
    </row>
    <row r="1574" spans="1:4" x14ac:dyDescent="0.25">
      <c r="A1574" t="str">
        <f>T("   CM")</f>
        <v xml:space="preserve">   CM</v>
      </c>
      <c r="B1574" t="str">
        <f>T("   Cameroun")</f>
        <v xml:space="preserve">   Cameroun</v>
      </c>
      <c r="C1574">
        <v>1500000</v>
      </c>
      <c r="D1574">
        <v>1500</v>
      </c>
    </row>
    <row r="1575" spans="1:4" x14ac:dyDescent="0.25">
      <c r="A1575" t="str">
        <f>T("   FR")</f>
        <v xml:space="preserve">   FR</v>
      </c>
      <c r="B1575" t="str">
        <f>T("   France")</f>
        <v xml:space="preserve">   France</v>
      </c>
      <c r="C1575">
        <v>35200000</v>
      </c>
      <c r="D1575">
        <v>32380</v>
      </c>
    </row>
    <row r="1576" spans="1:4" x14ac:dyDescent="0.25">
      <c r="A1576" t="str">
        <f>T("   GP")</f>
        <v xml:space="preserve">   GP</v>
      </c>
      <c r="B1576" t="str">
        <f>T("   Guadeloupe")</f>
        <v xml:space="preserve">   Guadeloupe</v>
      </c>
      <c r="C1576">
        <v>2400000</v>
      </c>
      <c r="D1576">
        <v>2450</v>
      </c>
    </row>
    <row r="1577" spans="1:4" x14ac:dyDescent="0.25">
      <c r="A1577" t="str">
        <f>T("   IL")</f>
        <v xml:space="preserve">   IL</v>
      </c>
      <c r="B1577" t="str">
        <f>T("   Israël")</f>
        <v xml:space="preserve">   Israël</v>
      </c>
      <c r="C1577">
        <v>1650000</v>
      </c>
      <c r="D1577">
        <v>1600</v>
      </c>
    </row>
    <row r="1578" spans="1:4" x14ac:dyDescent="0.25">
      <c r="A1578" t="str">
        <f>T("   MA")</f>
        <v xml:space="preserve">   MA</v>
      </c>
      <c r="B1578" t="str">
        <f>T("   Maroc")</f>
        <v xml:space="preserve">   Maroc</v>
      </c>
      <c r="C1578">
        <v>1600000</v>
      </c>
      <c r="D1578">
        <v>9435</v>
      </c>
    </row>
    <row r="1579" spans="1:4" x14ac:dyDescent="0.25">
      <c r="A1579" t="str">
        <f>T("   NE")</f>
        <v xml:space="preserve">   NE</v>
      </c>
      <c r="B1579" t="str">
        <f>T("   Niger")</f>
        <v xml:space="preserve">   Niger</v>
      </c>
      <c r="C1579">
        <v>2632000</v>
      </c>
      <c r="D1579">
        <v>1200</v>
      </c>
    </row>
    <row r="1580" spans="1:4" x14ac:dyDescent="0.25">
      <c r="A1580" t="str">
        <f>T("   UG")</f>
        <v xml:space="preserve">   UG</v>
      </c>
      <c r="B1580" t="str">
        <f>T("   Ouganda")</f>
        <v xml:space="preserve">   Ouganda</v>
      </c>
      <c r="C1580">
        <v>500000</v>
      </c>
      <c r="D1580">
        <v>1000</v>
      </c>
    </row>
    <row r="1581" spans="1:4" x14ac:dyDescent="0.25">
      <c r="A1581" t="str">
        <f>T("   US")</f>
        <v xml:space="preserve">   US</v>
      </c>
      <c r="B1581" t="str">
        <f>T("   Etats-Unis")</f>
        <v xml:space="preserve">   Etats-Unis</v>
      </c>
      <c r="C1581">
        <v>65502198</v>
      </c>
      <c r="D1581">
        <v>7568</v>
      </c>
    </row>
    <row r="1582" spans="1:4" x14ac:dyDescent="0.25">
      <c r="A1582" t="str">
        <f>T("940380")</f>
        <v>940380</v>
      </c>
      <c r="B1582" t="str">
        <f>T("Meubles en rotin, osier, bambou ou autres matières (sauf métal, bois et matières plastiques)")</f>
        <v>Meubles en rotin, osier, bambou ou autres matières (sauf métal, bois et matières plastiques)</v>
      </c>
    </row>
    <row r="1583" spans="1:4" x14ac:dyDescent="0.25">
      <c r="A1583" t="str">
        <f>T("   ZZZ_Monde")</f>
        <v xml:space="preserve">   ZZZ_Monde</v>
      </c>
      <c r="B1583" t="str">
        <f>T("   ZZZ_Monde")</f>
        <v xml:space="preserve">   ZZZ_Monde</v>
      </c>
      <c r="C1583">
        <v>34594252</v>
      </c>
      <c r="D1583">
        <v>141210.12</v>
      </c>
    </row>
    <row r="1584" spans="1:4" x14ac:dyDescent="0.25">
      <c r="A1584" t="str">
        <f>T("   BF")</f>
        <v xml:space="preserve">   BF</v>
      </c>
      <c r="B1584" t="str">
        <f>T("   Burkina Faso")</f>
        <v xml:space="preserve">   Burkina Faso</v>
      </c>
      <c r="C1584">
        <v>400000</v>
      </c>
      <c r="D1584">
        <v>10000</v>
      </c>
    </row>
    <row r="1585" spans="1:4" x14ac:dyDescent="0.25">
      <c r="A1585" t="str">
        <f>T("   BI")</f>
        <v xml:space="preserve">   BI</v>
      </c>
      <c r="B1585" t="str">
        <f>T("   Burundi")</f>
        <v xml:space="preserve">   Burundi</v>
      </c>
      <c r="C1585">
        <v>9386652</v>
      </c>
      <c r="D1585">
        <v>11810</v>
      </c>
    </row>
    <row r="1586" spans="1:4" x14ac:dyDescent="0.25">
      <c r="A1586" t="str">
        <f>T("   CG")</f>
        <v xml:space="preserve">   CG</v>
      </c>
      <c r="B1586" t="str">
        <f>T("   Congo (Brazzaville)")</f>
        <v xml:space="preserve">   Congo (Brazzaville)</v>
      </c>
      <c r="C1586">
        <v>1400000</v>
      </c>
      <c r="D1586">
        <v>400</v>
      </c>
    </row>
    <row r="1587" spans="1:4" x14ac:dyDescent="0.25">
      <c r="A1587" t="str">
        <f>T("   CI")</f>
        <v xml:space="preserve">   CI</v>
      </c>
      <c r="B1587" t="str">
        <f>T("   Côte d'Ivoire")</f>
        <v xml:space="preserve">   Côte d'Ivoire</v>
      </c>
      <c r="C1587">
        <v>2100000</v>
      </c>
      <c r="D1587">
        <v>35000</v>
      </c>
    </row>
    <row r="1588" spans="1:4" x14ac:dyDescent="0.25">
      <c r="A1588" t="str">
        <f>T("   CM")</f>
        <v xml:space="preserve">   CM</v>
      </c>
      <c r="B1588" t="str">
        <f>T("   Cameroun")</f>
        <v xml:space="preserve">   Cameroun</v>
      </c>
      <c r="C1588">
        <v>5250000</v>
      </c>
      <c r="D1588">
        <v>15150</v>
      </c>
    </row>
    <row r="1589" spans="1:4" x14ac:dyDescent="0.25">
      <c r="A1589" t="str">
        <f>T("   DJ")</f>
        <v xml:space="preserve">   DJ</v>
      </c>
      <c r="B1589" t="str">
        <f>T("   Djibouti")</f>
        <v xml:space="preserve">   Djibouti</v>
      </c>
      <c r="C1589">
        <v>400000</v>
      </c>
      <c r="D1589">
        <v>10000</v>
      </c>
    </row>
    <row r="1590" spans="1:4" x14ac:dyDescent="0.25">
      <c r="A1590" t="str">
        <f>T("   FR")</f>
        <v xml:space="preserve">   FR</v>
      </c>
      <c r="B1590" t="str">
        <f>T("   France")</f>
        <v xml:space="preserve">   France</v>
      </c>
      <c r="C1590">
        <v>800000</v>
      </c>
      <c r="D1590">
        <v>20000</v>
      </c>
    </row>
    <row r="1591" spans="1:4" x14ac:dyDescent="0.25">
      <c r="A1591" t="str">
        <f>T("   GA")</f>
        <v xml:space="preserve">   GA</v>
      </c>
      <c r="B1591" t="str">
        <f>T("   Gabon")</f>
        <v xml:space="preserve">   Gabon</v>
      </c>
      <c r="C1591">
        <v>300000</v>
      </c>
      <c r="D1591">
        <v>210.12</v>
      </c>
    </row>
    <row r="1592" spans="1:4" x14ac:dyDescent="0.25">
      <c r="A1592" t="str">
        <f>T("   GQ")</f>
        <v xml:space="preserve">   GQ</v>
      </c>
      <c r="B1592" t="str">
        <f>T("   Guinée Equatoriale")</f>
        <v xml:space="preserve">   Guinée Equatoriale</v>
      </c>
      <c r="C1592">
        <v>8337600</v>
      </c>
      <c r="D1592">
        <v>640</v>
      </c>
    </row>
    <row r="1593" spans="1:4" x14ac:dyDescent="0.25">
      <c r="A1593" t="str">
        <f>T("   MZ")</f>
        <v xml:space="preserve">   MZ</v>
      </c>
      <c r="B1593" t="str">
        <f>T("   Mozambique")</f>
        <v xml:space="preserve">   Mozambique</v>
      </c>
      <c r="C1593">
        <v>400000</v>
      </c>
      <c r="D1593">
        <v>10000</v>
      </c>
    </row>
    <row r="1594" spans="1:4" x14ac:dyDescent="0.25">
      <c r="A1594" t="str">
        <f>T("   NE")</f>
        <v xml:space="preserve">   NE</v>
      </c>
      <c r="B1594" t="str">
        <f>T("   Niger")</f>
        <v xml:space="preserve">   Niger</v>
      </c>
      <c r="C1594">
        <v>2520000</v>
      </c>
      <c r="D1594">
        <v>1500</v>
      </c>
    </row>
    <row r="1595" spans="1:4" x14ac:dyDescent="0.25">
      <c r="A1595" t="str">
        <f>T("   UG")</f>
        <v xml:space="preserve">   UG</v>
      </c>
      <c r="B1595" t="str">
        <f>T("   Ouganda")</f>
        <v xml:space="preserve">   Ouganda</v>
      </c>
      <c r="C1595">
        <v>600000</v>
      </c>
      <c r="D1595">
        <v>10000</v>
      </c>
    </row>
    <row r="1596" spans="1:4" x14ac:dyDescent="0.25">
      <c r="A1596" t="str">
        <f>T("   US")</f>
        <v xml:space="preserve">   US</v>
      </c>
      <c r="B1596" t="str">
        <f>T("   Etats-Unis")</f>
        <v xml:space="preserve">   Etats-Unis</v>
      </c>
      <c r="C1596">
        <v>2700000</v>
      </c>
      <c r="D1596">
        <v>16500</v>
      </c>
    </row>
    <row r="1597" spans="1:4" x14ac:dyDescent="0.25">
      <c r="A1597" t="str">
        <f>T("940591")</f>
        <v>940591</v>
      </c>
      <c r="B1597"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598" spans="1:4" x14ac:dyDescent="0.25">
      <c r="A1598" t="str">
        <f>T("   ZZZ_Monde")</f>
        <v xml:space="preserve">   ZZZ_Monde</v>
      </c>
      <c r="B1598" t="str">
        <f>T("   ZZZ_Monde")</f>
        <v xml:space="preserve">   ZZZ_Monde</v>
      </c>
      <c r="C1598">
        <v>1973520</v>
      </c>
      <c r="D1598">
        <v>1874</v>
      </c>
    </row>
    <row r="1599" spans="1:4" x14ac:dyDescent="0.25">
      <c r="A1599" t="str">
        <f>T("   NE")</f>
        <v xml:space="preserve">   NE</v>
      </c>
      <c r="B1599" t="str">
        <f>T("   Niger")</f>
        <v xml:space="preserve">   Niger</v>
      </c>
      <c r="C1599">
        <v>1973520</v>
      </c>
      <c r="D1599">
        <v>1874</v>
      </c>
    </row>
    <row r="1600" spans="1:4" x14ac:dyDescent="0.25">
      <c r="A1600" t="str">
        <f>T("950299")</f>
        <v>950299</v>
      </c>
      <c r="B1600" t="str">
        <f>T("Parties et accessoires pour poupées représentant uniquement l'être humain, n.d.a.")</f>
        <v>Parties et accessoires pour poupées représentant uniquement l'être humain, n.d.a.</v>
      </c>
    </row>
    <row r="1601" spans="1:4" x14ac:dyDescent="0.25">
      <c r="A1601" t="str">
        <f>T("   ZZZ_Monde")</f>
        <v xml:space="preserve">   ZZZ_Monde</v>
      </c>
      <c r="B1601" t="str">
        <f>T("   ZZZ_Monde")</f>
        <v xml:space="preserve">   ZZZ_Monde</v>
      </c>
      <c r="C1601">
        <v>1200000</v>
      </c>
      <c r="D1601">
        <v>1887</v>
      </c>
    </row>
    <row r="1602" spans="1:4" x14ac:dyDescent="0.25">
      <c r="A1602" t="str">
        <f>T("   CD")</f>
        <v xml:space="preserve">   CD</v>
      </c>
      <c r="B1602" t="str">
        <f>T("   Congo, République Démocratique")</f>
        <v xml:space="preserve">   Congo, République Démocratique</v>
      </c>
      <c r="C1602">
        <v>200000</v>
      </c>
      <c r="D1602">
        <v>265</v>
      </c>
    </row>
    <row r="1603" spans="1:4" x14ac:dyDescent="0.25">
      <c r="A1603" t="str">
        <f>T("   CL")</f>
        <v xml:space="preserve">   CL</v>
      </c>
      <c r="B1603" t="str">
        <f>T("   Chili")</f>
        <v xml:space="preserve">   Chili</v>
      </c>
      <c r="C1603">
        <v>150000</v>
      </c>
      <c r="D1603">
        <v>300</v>
      </c>
    </row>
    <row r="1604" spans="1:4" x14ac:dyDescent="0.25">
      <c r="A1604" t="str">
        <f>T("   FR")</f>
        <v xml:space="preserve">   FR</v>
      </c>
      <c r="B1604" t="str">
        <f>T("   France")</f>
        <v xml:space="preserve">   France</v>
      </c>
      <c r="C1604">
        <v>100000</v>
      </c>
      <c r="D1604">
        <v>100</v>
      </c>
    </row>
    <row r="1605" spans="1:4" x14ac:dyDescent="0.25">
      <c r="A1605" t="str">
        <f>T("   MA")</f>
        <v xml:space="preserve">   MA</v>
      </c>
      <c r="B1605" t="str">
        <f>T("   Maroc")</f>
        <v xml:space="preserve">   Maroc</v>
      </c>
      <c r="C1605">
        <v>250000</v>
      </c>
      <c r="D1605">
        <v>450</v>
      </c>
    </row>
    <row r="1606" spans="1:4" x14ac:dyDescent="0.25">
      <c r="A1606" t="str">
        <f>T("   RW")</f>
        <v xml:space="preserve">   RW</v>
      </c>
      <c r="B1606" t="str">
        <f>T("   Rwanda")</f>
        <v xml:space="preserve">   Rwanda</v>
      </c>
      <c r="C1606">
        <v>200000</v>
      </c>
      <c r="D1606">
        <v>100</v>
      </c>
    </row>
    <row r="1607" spans="1:4" x14ac:dyDescent="0.25">
      <c r="A1607" t="str">
        <f>T("   TZ")</f>
        <v xml:space="preserve">   TZ</v>
      </c>
      <c r="B1607" t="str">
        <f>T("   Tanzanie")</f>
        <v xml:space="preserve">   Tanzanie</v>
      </c>
      <c r="C1607">
        <v>100000</v>
      </c>
      <c r="D1607">
        <v>300</v>
      </c>
    </row>
    <row r="1608" spans="1:4" x14ac:dyDescent="0.25">
      <c r="A1608" t="str">
        <f>T("   US")</f>
        <v xml:space="preserve">   US</v>
      </c>
      <c r="B1608" t="str">
        <f>T("   Etats-Unis")</f>
        <v xml:space="preserve">   Etats-Unis</v>
      </c>
      <c r="C1608">
        <v>200000</v>
      </c>
      <c r="D1608">
        <v>372</v>
      </c>
    </row>
    <row r="1609" spans="1:4" x14ac:dyDescent="0.25">
      <c r="A1609" t="str">
        <f>T("950490")</f>
        <v>950490</v>
      </c>
      <c r="B1609" t="str">
        <f>T("Tables spéciales pour jeux de casino, jeux de quilles automatiques [p.ex. bowlings] et autres jeux de société, y.c. les jeux à moteur ou à mouvement (sauf jeux fonctionnant par l'introduction d'une pièce de monnaie, d'un billet de banque, d'un jeton ou d'")</f>
        <v>Tables spéciales pour jeux de casino, jeux de quilles automatiques [p.ex. bowlings] et autres jeux de société, y.c. les jeux à moteur ou à mouvement (sauf jeux fonctionnant par l'introduction d'une pièce de monnaie, d'un billet de banque, d'un jeton ou d'</v>
      </c>
    </row>
    <row r="1610" spans="1:4" x14ac:dyDescent="0.25">
      <c r="A1610" t="str">
        <f>T("   ZZZ_Monde")</f>
        <v xml:space="preserve">   ZZZ_Monde</v>
      </c>
      <c r="B1610" t="str">
        <f>T("   ZZZ_Monde")</f>
        <v xml:space="preserve">   ZZZ_Monde</v>
      </c>
      <c r="C1610">
        <v>153495</v>
      </c>
      <c r="D1610">
        <v>14</v>
      </c>
    </row>
    <row r="1611" spans="1:4" x14ac:dyDescent="0.25">
      <c r="A1611" t="str">
        <f>T("   NG")</f>
        <v xml:space="preserve">   NG</v>
      </c>
      <c r="B1611" t="str">
        <f>T("   Nigéria")</f>
        <v xml:space="preserve">   Nigéria</v>
      </c>
      <c r="C1611">
        <v>153495</v>
      </c>
      <c r="D1611">
        <v>14</v>
      </c>
    </row>
    <row r="1612" spans="1:4" x14ac:dyDescent="0.25">
      <c r="A1612" t="str">
        <f>T("950619")</f>
        <v>950619</v>
      </c>
      <c r="B1612" t="str">
        <f>T("MATÉRIEL POUR LA PRATIQUE DU SKI DE NEIGE (À L'EXCL. DES SKIS ET DES FIXATIONS POUR SKIS) [01/01/1988-31/12/1994: MATERIEL POUR LA PRATIQUE DU SKI DE NEIGE, (SAUF SKIS ET FIXATIONS)]")</f>
        <v>MATÉRIEL POUR LA PRATIQUE DU SKI DE NEIGE (À L'EXCL. DES SKIS ET DES FIXATIONS POUR SKIS) [01/01/1988-31/12/1994: MATERIEL POUR LA PRATIQUE DU SKI DE NEIGE, (SAUF SKIS ET FIXATIONS)]</v>
      </c>
    </row>
    <row r="1613" spans="1:4" x14ac:dyDescent="0.25">
      <c r="A1613" t="str">
        <f>T("   ZZZ_Monde")</f>
        <v xml:space="preserve">   ZZZ_Monde</v>
      </c>
      <c r="B1613" t="str">
        <f>T("   ZZZ_Monde")</f>
        <v xml:space="preserve">   ZZZ_Monde</v>
      </c>
      <c r="C1613">
        <v>2300000</v>
      </c>
      <c r="D1613">
        <v>11000</v>
      </c>
    </row>
    <row r="1614" spans="1:4" x14ac:dyDescent="0.25">
      <c r="A1614" t="str">
        <f>T("   US")</f>
        <v xml:space="preserve">   US</v>
      </c>
      <c r="B1614" t="str">
        <f>T("   Etats-Unis")</f>
        <v xml:space="preserve">   Etats-Unis</v>
      </c>
      <c r="C1614">
        <v>2300000</v>
      </c>
      <c r="D1614">
        <v>11000</v>
      </c>
    </row>
    <row r="1615" spans="1:4" x14ac:dyDescent="0.25">
      <c r="A1615" t="str">
        <f>T("960990")</f>
        <v>960990</v>
      </c>
      <c r="B1615" t="str">
        <f>T("Crayons (sauf crayons à gaine), pastels, fusains, craies à écrire ou à dessiner et craies de tailleurs")</f>
        <v>Crayons (sauf crayons à gaine), pastels, fusains, craies à écrire ou à dessiner et craies de tailleurs</v>
      </c>
    </row>
    <row r="1616" spans="1:4" x14ac:dyDescent="0.25">
      <c r="A1616" t="str">
        <f>T("   ZZZ_Monde")</f>
        <v xml:space="preserve">   ZZZ_Monde</v>
      </c>
      <c r="B1616" t="str">
        <f>T("   ZZZ_Monde")</f>
        <v xml:space="preserve">   ZZZ_Monde</v>
      </c>
      <c r="C1616">
        <v>170000</v>
      </c>
      <c r="D1616">
        <v>950</v>
      </c>
    </row>
    <row r="1617" spans="1:4" x14ac:dyDescent="0.25">
      <c r="A1617" t="str">
        <f>T("   GQ")</f>
        <v xml:space="preserve">   GQ</v>
      </c>
      <c r="B1617" t="str">
        <f>T("   Guinée Equatoriale")</f>
        <v xml:space="preserve">   Guinée Equatoriale</v>
      </c>
      <c r="C1617">
        <v>170000</v>
      </c>
      <c r="D1617">
        <v>950</v>
      </c>
    </row>
    <row r="1618" spans="1:4" x14ac:dyDescent="0.25">
      <c r="A1618" t="str">
        <f>T("961620")</f>
        <v>961620</v>
      </c>
      <c r="B1618" t="str">
        <f>T("Houppes et houppettes à poudre ou pour l'application d'autres cosmétiques ou produits de toilette")</f>
        <v>Houppes et houppettes à poudre ou pour l'application d'autres cosmétiques ou produits de toilette</v>
      </c>
    </row>
    <row r="1619" spans="1:4" x14ac:dyDescent="0.25">
      <c r="A1619" t="str">
        <f>T("   ZZZ_Monde")</f>
        <v xml:space="preserve">   ZZZ_Monde</v>
      </c>
      <c r="B1619" t="str">
        <f>T("   ZZZ_Monde")</f>
        <v xml:space="preserve">   ZZZ_Monde</v>
      </c>
      <c r="C1619">
        <v>12725000</v>
      </c>
      <c r="D1619">
        <v>3375</v>
      </c>
    </row>
    <row r="1620" spans="1:4" x14ac:dyDescent="0.25">
      <c r="A1620" t="str">
        <f>T("   AE")</f>
        <v xml:space="preserve">   AE</v>
      </c>
      <c r="B1620" t="str">
        <f>T("   Emirats Arabes Unis")</f>
        <v xml:space="preserve">   Emirats Arabes Unis</v>
      </c>
      <c r="C1620">
        <v>12725000</v>
      </c>
      <c r="D1620">
        <v>3375</v>
      </c>
    </row>
    <row r="1621" spans="1:4" x14ac:dyDescent="0.25">
      <c r="A1621" t="str">
        <f>T("970110")</f>
        <v>970110</v>
      </c>
      <c r="B1621"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622" spans="1:4" x14ac:dyDescent="0.25">
      <c r="A1622" t="str">
        <f>T("   ZZZ_Monde")</f>
        <v xml:space="preserve">   ZZZ_Monde</v>
      </c>
      <c r="B1622" t="str">
        <f>T("   ZZZ_Monde")</f>
        <v xml:space="preserve">   ZZZ_Monde</v>
      </c>
      <c r="C1622">
        <v>450000</v>
      </c>
      <c r="D1622">
        <v>200</v>
      </c>
    </row>
    <row r="1623" spans="1:4" x14ac:dyDescent="0.25">
      <c r="A1623" t="str">
        <f>T("   GQ")</f>
        <v xml:space="preserve">   GQ</v>
      </c>
      <c r="B1623" t="str">
        <f>T("   Guinée Equatoriale")</f>
        <v xml:space="preserve">   Guinée Equatoriale</v>
      </c>
      <c r="C1623">
        <v>450000</v>
      </c>
      <c r="D1623">
        <v>200</v>
      </c>
    </row>
    <row r="1624" spans="1:4" s="1" customFormat="1" x14ac:dyDescent="0.25">
      <c r="A1624" s="1" t="str">
        <f>T("   ZZZ_Monde")</f>
        <v xml:space="preserve">   ZZZ_Monde</v>
      </c>
      <c r="B1624" s="1" t="str">
        <f>T("   ZZZ_Monde")</f>
        <v xml:space="preserve">   ZZZ_Monde</v>
      </c>
      <c r="C1624" s="1">
        <v>144980458312</v>
      </c>
      <c r="D1624" s="1">
        <v>534575113.94</v>
      </c>
    </row>
    <row r="1626" spans="1:4" x14ac:dyDescent="0.25">
      <c r="A1626" t="s">
        <v>31</v>
      </c>
    </row>
  </sheetData>
  <pageMargins left="0.7" right="0.7" top="0.75" bottom="0.75" header="0.3" footer="0.3"/>
</worksheet>
</file>