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QETDOS\2010 a 2013\"/>
    </mc:Choice>
  </mc:AlternateContent>
  <bookViews>
    <workbookView xWindow="0" yWindow="0" windowWidth="20490" windowHeight="7755"/>
  </bookViews>
  <sheets>
    <sheet name="ex prod pays 2011" sheetId="1" r:id="rId1"/>
  </sheets>
  <calcPr calcId="0"/>
</workbook>
</file>

<file path=xl/calcChain.xml><?xml version="1.0" encoding="utf-8"?>
<calcChain xmlns="http://schemas.openxmlformats.org/spreadsheetml/2006/main">
  <c r="B3" i="1" l="1"/>
  <c r="B4" i="1"/>
  <c r="B5" i="1"/>
  <c r="B6" i="1"/>
  <c r="B7" i="1"/>
  <c r="B8" i="1"/>
  <c r="B9" i="1"/>
  <c r="C14" i="1"/>
  <c r="D14" i="1"/>
  <c r="C15" i="1"/>
  <c r="D15" i="1"/>
  <c r="A1624" i="1"/>
  <c r="B1624" i="1"/>
  <c r="A16" i="1"/>
  <c r="B16" i="1"/>
  <c r="A17" i="1"/>
  <c r="B17" i="1"/>
  <c r="A18" i="1"/>
  <c r="B18" i="1"/>
  <c r="A19" i="1"/>
  <c r="B19" i="1"/>
  <c r="A20" i="1"/>
  <c r="B20" i="1"/>
  <c r="A21" i="1"/>
  <c r="B21" i="1"/>
  <c r="A22" i="1"/>
  <c r="B22" i="1"/>
  <c r="A23" i="1"/>
  <c r="B23" i="1"/>
  <c r="A24" i="1"/>
  <c r="B24" i="1"/>
  <c r="A25" i="1"/>
  <c r="B25" i="1"/>
  <c r="A26" i="1"/>
  <c r="B26" i="1"/>
  <c r="A27" i="1"/>
  <c r="B27" i="1"/>
  <c r="A28" i="1"/>
  <c r="B28" i="1"/>
  <c r="A29" i="1"/>
  <c r="B29" i="1"/>
  <c r="A30" i="1"/>
  <c r="B30" i="1"/>
  <c r="A31" i="1"/>
  <c r="B31" i="1"/>
  <c r="A32" i="1"/>
  <c r="B32" i="1"/>
  <c r="A33" i="1"/>
  <c r="B33" i="1"/>
  <c r="A34" i="1"/>
  <c r="B34" i="1"/>
  <c r="A35" i="1"/>
  <c r="B35" i="1"/>
  <c r="A36" i="1"/>
  <c r="B36" i="1"/>
  <c r="A37" i="1"/>
  <c r="B37" i="1"/>
  <c r="A38" i="1"/>
  <c r="B38" i="1"/>
  <c r="A39" i="1"/>
  <c r="B39" i="1"/>
  <c r="A40" i="1"/>
  <c r="B40" i="1"/>
  <c r="A41" i="1"/>
  <c r="B41" i="1"/>
  <c r="A42" i="1"/>
  <c r="B42" i="1"/>
  <c r="A43" i="1"/>
  <c r="B43" i="1"/>
  <c r="A44" i="1"/>
  <c r="B44" i="1"/>
  <c r="A45" i="1"/>
  <c r="B45" i="1"/>
  <c r="A46" i="1"/>
  <c r="B46" i="1"/>
  <c r="A47" i="1"/>
  <c r="B47" i="1"/>
  <c r="A48" i="1"/>
  <c r="B48" i="1"/>
  <c r="A49" i="1"/>
  <c r="B49" i="1"/>
  <c r="A50" i="1"/>
  <c r="B50" i="1"/>
  <c r="A51" i="1"/>
  <c r="B51" i="1"/>
  <c r="A52" i="1"/>
  <c r="B52" i="1"/>
  <c r="A53" i="1"/>
  <c r="B53" i="1"/>
  <c r="A54" i="1"/>
  <c r="B54" i="1"/>
  <c r="A55" i="1"/>
  <c r="B55" i="1"/>
  <c r="A56" i="1"/>
  <c r="B56" i="1"/>
  <c r="A57" i="1"/>
  <c r="B57" i="1"/>
  <c r="A58" i="1"/>
  <c r="B58" i="1"/>
  <c r="A59" i="1"/>
  <c r="B59" i="1"/>
  <c r="A60" i="1"/>
  <c r="B60" i="1"/>
  <c r="A61" i="1"/>
  <c r="B61" i="1"/>
  <c r="A62" i="1"/>
  <c r="B62" i="1"/>
  <c r="A63" i="1"/>
  <c r="B63" i="1"/>
  <c r="A64" i="1"/>
  <c r="B64" i="1"/>
  <c r="A65" i="1"/>
  <c r="B65" i="1"/>
  <c r="A66" i="1"/>
  <c r="B66" i="1"/>
  <c r="A67" i="1"/>
  <c r="B67" i="1"/>
  <c r="A68" i="1"/>
  <c r="B68" i="1"/>
  <c r="A69" i="1"/>
  <c r="B69" i="1"/>
  <c r="A70" i="1"/>
  <c r="B70" i="1"/>
  <c r="A71" i="1"/>
  <c r="B71" i="1"/>
  <c r="A72" i="1"/>
  <c r="B72" i="1"/>
  <c r="A73" i="1"/>
  <c r="B73" i="1"/>
  <c r="A74" i="1"/>
  <c r="B74" i="1"/>
  <c r="A75" i="1"/>
  <c r="B75" i="1"/>
  <c r="A76" i="1"/>
  <c r="B76" i="1"/>
  <c r="A77" i="1"/>
  <c r="B77" i="1"/>
  <c r="A78" i="1"/>
  <c r="B78" i="1"/>
  <c r="A79" i="1"/>
  <c r="B79" i="1"/>
  <c r="A80" i="1"/>
  <c r="B80" i="1"/>
  <c r="A81" i="1"/>
  <c r="B81" i="1"/>
  <c r="A82" i="1"/>
  <c r="B82" i="1"/>
  <c r="A83" i="1"/>
  <c r="B83" i="1"/>
  <c r="A84" i="1"/>
  <c r="B84" i="1"/>
  <c r="A85" i="1"/>
  <c r="B85" i="1"/>
  <c r="A86" i="1"/>
  <c r="B86" i="1"/>
  <c r="A87" i="1"/>
  <c r="B87" i="1"/>
  <c r="A88" i="1"/>
  <c r="B88" i="1"/>
  <c r="A89" i="1"/>
  <c r="B89" i="1"/>
  <c r="A90" i="1"/>
  <c r="B90" i="1"/>
  <c r="A91" i="1"/>
  <c r="B91" i="1"/>
  <c r="A92" i="1"/>
  <c r="B92" i="1"/>
  <c r="A93" i="1"/>
  <c r="B93" i="1"/>
  <c r="A94" i="1"/>
  <c r="B94" i="1"/>
  <c r="A95" i="1"/>
  <c r="B95" i="1"/>
  <c r="A96" i="1"/>
  <c r="B96" i="1"/>
  <c r="A97" i="1"/>
  <c r="B97" i="1"/>
  <c r="A98" i="1"/>
  <c r="B98" i="1"/>
  <c r="A99" i="1"/>
  <c r="B99" i="1"/>
  <c r="A100" i="1"/>
  <c r="B100" i="1"/>
  <c r="A101" i="1"/>
  <c r="B101" i="1"/>
  <c r="A102" i="1"/>
  <c r="B102" i="1"/>
  <c r="A103" i="1"/>
  <c r="B103" i="1"/>
  <c r="A104" i="1"/>
  <c r="B104" i="1"/>
  <c r="A105" i="1"/>
  <c r="B105" i="1"/>
  <c r="A106" i="1"/>
  <c r="B106" i="1"/>
  <c r="A107" i="1"/>
  <c r="B107" i="1"/>
  <c r="A108" i="1"/>
  <c r="B108" i="1"/>
  <c r="A109" i="1"/>
  <c r="B109" i="1"/>
  <c r="A110" i="1"/>
  <c r="B110" i="1"/>
  <c r="A111" i="1"/>
  <c r="B111" i="1"/>
  <c r="A112" i="1"/>
  <c r="B112" i="1"/>
  <c r="A113" i="1"/>
  <c r="B113" i="1"/>
  <c r="A114" i="1"/>
  <c r="B114" i="1"/>
  <c r="A115" i="1"/>
  <c r="B115" i="1"/>
  <c r="A116" i="1"/>
  <c r="B116" i="1"/>
  <c r="A117" i="1"/>
  <c r="B117" i="1"/>
  <c r="A118" i="1"/>
  <c r="B118" i="1"/>
  <c r="A119" i="1"/>
  <c r="B119" i="1"/>
  <c r="A120" i="1"/>
  <c r="B120" i="1"/>
  <c r="A121" i="1"/>
  <c r="B121" i="1"/>
  <c r="A122" i="1"/>
  <c r="B122" i="1"/>
  <c r="A123" i="1"/>
  <c r="B123" i="1"/>
  <c r="A124" i="1"/>
  <c r="B124" i="1"/>
  <c r="A125" i="1"/>
  <c r="B125" i="1"/>
  <c r="A126" i="1"/>
  <c r="B126" i="1"/>
  <c r="A127" i="1"/>
  <c r="B127" i="1"/>
  <c r="A128" i="1"/>
  <c r="B128" i="1"/>
  <c r="A129" i="1"/>
  <c r="B129" i="1"/>
  <c r="A130" i="1"/>
  <c r="B130" i="1"/>
  <c r="A131" i="1"/>
  <c r="B131" i="1"/>
  <c r="A132" i="1"/>
  <c r="B132" i="1"/>
  <c r="A133" i="1"/>
  <c r="B133" i="1"/>
  <c r="A134" i="1"/>
  <c r="B134" i="1"/>
  <c r="A135" i="1"/>
  <c r="B135" i="1"/>
  <c r="A136" i="1"/>
  <c r="B136" i="1"/>
  <c r="A137" i="1"/>
  <c r="B137" i="1"/>
  <c r="A138" i="1"/>
  <c r="B138" i="1"/>
  <c r="A139" i="1"/>
  <c r="B139" i="1"/>
  <c r="A140" i="1"/>
  <c r="B140" i="1"/>
  <c r="A141" i="1"/>
  <c r="B141" i="1"/>
  <c r="A142" i="1"/>
  <c r="B142" i="1"/>
  <c r="A143" i="1"/>
  <c r="B143" i="1"/>
  <c r="A144" i="1"/>
  <c r="B144" i="1"/>
  <c r="A145" i="1"/>
  <c r="B145" i="1"/>
  <c r="A146" i="1"/>
  <c r="B146" i="1"/>
  <c r="A147" i="1"/>
  <c r="B147" i="1"/>
  <c r="A148" i="1"/>
  <c r="B148" i="1"/>
  <c r="A149" i="1"/>
  <c r="B149" i="1"/>
  <c r="A150" i="1"/>
  <c r="B150" i="1"/>
  <c r="A151" i="1"/>
  <c r="B151" i="1"/>
  <c r="A152" i="1"/>
  <c r="B152" i="1"/>
  <c r="A153" i="1"/>
  <c r="B153" i="1"/>
  <c r="A154" i="1"/>
  <c r="B154" i="1"/>
  <c r="A155" i="1"/>
  <c r="B155" i="1"/>
  <c r="A156" i="1"/>
  <c r="B156" i="1"/>
  <c r="A157" i="1"/>
  <c r="B157" i="1"/>
  <c r="A158" i="1"/>
  <c r="B158" i="1"/>
  <c r="A159" i="1"/>
  <c r="B159" i="1"/>
  <c r="A160" i="1"/>
  <c r="B160" i="1"/>
  <c r="A161" i="1"/>
  <c r="B161" i="1"/>
  <c r="A162" i="1"/>
  <c r="B162" i="1"/>
  <c r="A163" i="1"/>
  <c r="B163" i="1"/>
  <c r="A164" i="1"/>
  <c r="B164" i="1"/>
  <c r="A165" i="1"/>
  <c r="B165" i="1"/>
  <c r="A166" i="1"/>
  <c r="B166" i="1"/>
  <c r="A167" i="1"/>
  <c r="B167" i="1"/>
  <c r="A168" i="1"/>
  <c r="B168" i="1"/>
  <c r="A169" i="1"/>
  <c r="B169" i="1"/>
  <c r="A170" i="1"/>
  <c r="B170" i="1"/>
  <c r="A171" i="1"/>
  <c r="B171" i="1"/>
  <c r="A172" i="1"/>
  <c r="B172" i="1"/>
  <c r="A173" i="1"/>
  <c r="B173" i="1"/>
  <c r="A174" i="1"/>
  <c r="B174" i="1"/>
  <c r="A175" i="1"/>
  <c r="B175" i="1"/>
  <c r="A176" i="1"/>
  <c r="B176" i="1"/>
  <c r="A177" i="1"/>
  <c r="B177" i="1"/>
  <c r="A178" i="1"/>
  <c r="B178" i="1"/>
  <c r="A179" i="1"/>
  <c r="B179" i="1"/>
  <c r="A180" i="1"/>
  <c r="B180" i="1"/>
  <c r="A181" i="1"/>
  <c r="B181" i="1"/>
  <c r="A182" i="1"/>
  <c r="B182" i="1"/>
  <c r="A183" i="1"/>
  <c r="B183" i="1"/>
  <c r="A184" i="1"/>
  <c r="B184" i="1"/>
  <c r="A185" i="1"/>
  <c r="B185" i="1"/>
  <c r="A186" i="1"/>
  <c r="B186" i="1"/>
  <c r="A187" i="1"/>
  <c r="B187" i="1"/>
  <c r="A188" i="1"/>
  <c r="B188" i="1"/>
  <c r="A189" i="1"/>
  <c r="B189" i="1"/>
  <c r="A190" i="1"/>
  <c r="B190" i="1"/>
  <c r="A191" i="1"/>
  <c r="B191" i="1"/>
  <c r="A192" i="1"/>
  <c r="B192" i="1"/>
  <c r="A193" i="1"/>
  <c r="B193" i="1"/>
  <c r="A194" i="1"/>
  <c r="B194" i="1"/>
  <c r="A195" i="1"/>
  <c r="B195" i="1"/>
  <c r="A196" i="1"/>
  <c r="B196" i="1"/>
  <c r="A197" i="1"/>
  <c r="B197" i="1"/>
  <c r="A198" i="1"/>
  <c r="B198" i="1"/>
  <c r="A199" i="1"/>
  <c r="B199" i="1"/>
  <c r="A200" i="1"/>
  <c r="B200" i="1"/>
  <c r="A201" i="1"/>
  <c r="B201" i="1"/>
  <c r="A202" i="1"/>
  <c r="B202" i="1"/>
  <c r="A203" i="1"/>
  <c r="B203" i="1"/>
  <c r="A204" i="1"/>
  <c r="B204" i="1"/>
  <c r="A205" i="1"/>
  <c r="B205" i="1"/>
  <c r="A206" i="1"/>
  <c r="B206" i="1"/>
  <c r="A207" i="1"/>
  <c r="B207" i="1"/>
  <c r="A208" i="1"/>
  <c r="B208" i="1"/>
  <c r="A209" i="1"/>
  <c r="B209" i="1"/>
  <c r="A210" i="1"/>
  <c r="B210" i="1"/>
  <c r="A211" i="1"/>
  <c r="B211" i="1"/>
  <c r="A212" i="1"/>
  <c r="B212" i="1"/>
  <c r="A213" i="1"/>
  <c r="B213" i="1"/>
  <c r="A214" i="1"/>
  <c r="B214" i="1"/>
  <c r="A215" i="1"/>
  <c r="B215" i="1"/>
  <c r="A216" i="1"/>
  <c r="B216" i="1"/>
  <c r="A217" i="1"/>
  <c r="B217" i="1"/>
  <c r="A218" i="1"/>
  <c r="B218" i="1"/>
  <c r="A219" i="1"/>
  <c r="B219" i="1"/>
  <c r="A220" i="1"/>
  <c r="B220" i="1"/>
  <c r="A221" i="1"/>
  <c r="B221" i="1"/>
  <c r="A222" i="1"/>
  <c r="B222" i="1"/>
  <c r="A223" i="1"/>
  <c r="B223" i="1"/>
  <c r="A224" i="1"/>
  <c r="B224" i="1"/>
  <c r="A225" i="1"/>
  <c r="B225" i="1"/>
  <c r="A226" i="1"/>
  <c r="B226" i="1"/>
  <c r="A227" i="1"/>
  <c r="B227" i="1"/>
  <c r="A228" i="1"/>
  <c r="B228" i="1"/>
  <c r="A229" i="1"/>
  <c r="B229" i="1"/>
  <c r="A230" i="1"/>
  <c r="B230" i="1"/>
  <c r="A231" i="1"/>
  <c r="B231" i="1"/>
  <c r="A232" i="1"/>
  <c r="B232" i="1"/>
  <c r="A233" i="1"/>
  <c r="B233" i="1"/>
  <c r="A234" i="1"/>
  <c r="B234" i="1"/>
  <c r="A235" i="1"/>
  <c r="B235" i="1"/>
  <c r="A236" i="1"/>
  <c r="B236" i="1"/>
  <c r="A237" i="1"/>
  <c r="B237" i="1"/>
  <c r="A238" i="1"/>
  <c r="B238" i="1"/>
  <c r="A239" i="1"/>
  <c r="B239" i="1"/>
  <c r="A240" i="1"/>
  <c r="B240" i="1"/>
  <c r="A241" i="1"/>
  <c r="B241" i="1"/>
  <c r="A242" i="1"/>
  <c r="B242" i="1"/>
  <c r="A243" i="1"/>
  <c r="B243" i="1"/>
  <c r="A244" i="1"/>
  <c r="B244" i="1"/>
  <c r="A245" i="1"/>
  <c r="B245" i="1"/>
  <c r="A246" i="1"/>
  <c r="B246" i="1"/>
  <c r="A247" i="1"/>
  <c r="B247" i="1"/>
  <c r="A248" i="1"/>
  <c r="B248" i="1"/>
  <c r="A249" i="1"/>
  <c r="B249" i="1"/>
  <c r="A250" i="1"/>
  <c r="B250" i="1"/>
  <c r="A251" i="1"/>
  <c r="B251" i="1"/>
  <c r="A252" i="1"/>
  <c r="B252" i="1"/>
  <c r="A253" i="1"/>
  <c r="B253" i="1"/>
  <c r="A254" i="1"/>
  <c r="B254" i="1"/>
  <c r="A255" i="1"/>
  <c r="B255" i="1"/>
  <c r="A256" i="1"/>
  <c r="B256" i="1"/>
  <c r="A257" i="1"/>
  <c r="B257" i="1"/>
  <c r="A258" i="1"/>
  <c r="B258" i="1"/>
  <c r="A259" i="1"/>
  <c r="B259" i="1"/>
  <c r="A260" i="1"/>
  <c r="B260" i="1"/>
  <c r="A261" i="1"/>
  <c r="B261" i="1"/>
  <c r="A262" i="1"/>
  <c r="B262" i="1"/>
  <c r="A263" i="1"/>
  <c r="B263" i="1"/>
  <c r="A264" i="1"/>
  <c r="B264" i="1"/>
  <c r="A265" i="1"/>
  <c r="B265" i="1"/>
  <c r="A266" i="1"/>
  <c r="B266" i="1"/>
  <c r="A267" i="1"/>
  <c r="B267" i="1"/>
  <c r="A268" i="1"/>
  <c r="B268" i="1"/>
  <c r="A269" i="1"/>
  <c r="B269" i="1"/>
  <c r="A270" i="1"/>
  <c r="B270" i="1"/>
  <c r="A271" i="1"/>
  <c r="B271" i="1"/>
  <c r="A272" i="1"/>
  <c r="B272" i="1"/>
  <c r="A273" i="1"/>
  <c r="B273" i="1"/>
  <c r="A274" i="1"/>
  <c r="B274" i="1"/>
  <c r="A275" i="1"/>
  <c r="B275" i="1"/>
  <c r="A276" i="1"/>
  <c r="B276" i="1"/>
  <c r="A277" i="1"/>
  <c r="B277" i="1"/>
  <c r="A278" i="1"/>
  <c r="B278" i="1"/>
  <c r="A279" i="1"/>
  <c r="B279" i="1"/>
  <c r="A280" i="1"/>
  <c r="B280" i="1"/>
  <c r="A281" i="1"/>
  <c r="B281" i="1"/>
  <c r="A282" i="1"/>
  <c r="B282" i="1"/>
  <c r="A283" i="1"/>
  <c r="B283" i="1"/>
  <c r="A284" i="1"/>
  <c r="B284" i="1"/>
  <c r="A285" i="1"/>
  <c r="B285" i="1"/>
  <c r="A286" i="1"/>
  <c r="B286" i="1"/>
  <c r="A287" i="1"/>
  <c r="B287" i="1"/>
  <c r="A288" i="1"/>
  <c r="B288" i="1"/>
  <c r="A289" i="1"/>
  <c r="B289" i="1"/>
  <c r="A290" i="1"/>
  <c r="B290" i="1"/>
  <c r="A291" i="1"/>
  <c r="B291" i="1"/>
  <c r="A292" i="1"/>
  <c r="B292" i="1"/>
  <c r="A293" i="1"/>
  <c r="B293" i="1"/>
  <c r="A294" i="1"/>
  <c r="B294" i="1"/>
  <c r="A295" i="1"/>
  <c r="B295" i="1"/>
  <c r="A296" i="1"/>
  <c r="B296" i="1"/>
  <c r="A297" i="1"/>
  <c r="B297" i="1"/>
  <c r="A298" i="1"/>
  <c r="B298" i="1"/>
  <c r="A299" i="1"/>
  <c r="B299" i="1"/>
  <c r="A300" i="1"/>
  <c r="B300" i="1"/>
  <c r="A301" i="1"/>
  <c r="B301" i="1"/>
  <c r="A302" i="1"/>
  <c r="B302" i="1"/>
  <c r="A303" i="1"/>
  <c r="B303" i="1"/>
  <c r="A304" i="1"/>
  <c r="B304" i="1"/>
  <c r="A305" i="1"/>
  <c r="B305" i="1"/>
  <c r="A306" i="1"/>
  <c r="B306" i="1"/>
  <c r="A307" i="1"/>
  <c r="B307" i="1"/>
  <c r="A308" i="1"/>
  <c r="B308" i="1"/>
  <c r="A309" i="1"/>
  <c r="B309" i="1"/>
  <c r="A310" i="1"/>
  <c r="B310" i="1"/>
  <c r="A311" i="1"/>
  <c r="B311" i="1"/>
  <c r="A312" i="1"/>
  <c r="B312" i="1"/>
  <c r="A313" i="1"/>
  <c r="B313" i="1"/>
  <c r="A314" i="1"/>
  <c r="B314" i="1"/>
  <c r="A315" i="1"/>
  <c r="B315" i="1"/>
  <c r="A316" i="1"/>
  <c r="B316" i="1"/>
  <c r="A317" i="1"/>
  <c r="B317" i="1"/>
  <c r="A318" i="1"/>
  <c r="B318" i="1"/>
  <c r="A319" i="1"/>
  <c r="B319" i="1"/>
  <c r="A320" i="1"/>
  <c r="B320" i="1"/>
  <c r="A321" i="1"/>
  <c r="B321" i="1"/>
  <c r="A322" i="1"/>
  <c r="B322" i="1"/>
  <c r="A323" i="1"/>
  <c r="B323" i="1"/>
  <c r="A324" i="1"/>
  <c r="B324" i="1"/>
  <c r="A325" i="1"/>
  <c r="B325" i="1"/>
  <c r="A326" i="1"/>
  <c r="B326" i="1"/>
  <c r="A327" i="1"/>
  <c r="B327" i="1"/>
  <c r="A328" i="1"/>
  <c r="B328" i="1"/>
  <c r="A329" i="1"/>
  <c r="B329" i="1"/>
  <c r="A330" i="1"/>
  <c r="B330" i="1"/>
  <c r="A331" i="1"/>
  <c r="B331" i="1"/>
  <c r="A332" i="1"/>
  <c r="B332" i="1"/>
  <c r="A333" i="1"/>
  <c r="B333" i="1"/>
  <c r="A334" i="1"/>
  <c r="B334" i="1"/>
  <c r="A335" i="1"/>
  <c r="B335" i="1"/>
  <c r="A336" i="1"/>
  <c r="B336" i="1"/>
  <c r="A337" i="1"/>
  <c r="B337" i="1"/>
  <c r="A338" i="1"/>
  <c r="B338" i="1"/>
  <c r="A339" i="1"/>
  <c r="B339" i="1"/>
  <c r="A340" i="1"/>
  <c r="B340" i="1"/>
  <c r="A341" i="1"/>
  <c r="B341" i="1"/>
  <c r="A342" i="1"/>
  <c r="B342" i="1"/>
  <c r="A343" i="1"/>
  <c r="B343" i="1"/>
  <c r="A344" i="1"/>
  <c r="B344" i="1"/>
  <c r="A345" i="1"/>
  <c r="B345" i="1"/>
  <c r="A346" i="1"/>
  <c r="B346" i="1"/>
  <c r="A347" i="1"/>
  <c r="B347" i="1"/>
  <c r="A348" i="1"/>
  <c r="B348" i="1"/>
  <c r="A349" i="1"/>
  <c r="B349" i="1"/>
  <c r="A350" i="1"/>
  <c r="B350" i="1"/>
  <c r="A351" i="1"/>
  <c r="B351" i="1"/>
  <c r="A352" i="1"/>
  <c r="B352" i="1"/>
  <c r="A353" i="1"/>
  <c r="B353" i="1"/>
  <c r="A354" i="1"/>
  <c r="B354" i="1"/>
  <c r="A355" i="1"/>
  <c r="B355" i="1"/>
  <c r="A356" i="1"/>
  <c r="B356" i="1"/>
  <c r="A357" i="1"/>
  <c r="B357" i="1"/>
  <c r="A358" i="1"/>
  <c r="B358" i="1"/>
  <c r="A359" i="1"/>
  <c r="B359" i="1"/>
  <c r="A360" i="1"/>
  <c r="B360" i="1"/>
  <c r="A361" i="1"/>
  <c r="B361" i="1"/>
  <c r="A362" i="1"/>
  <c r="B362" i="1"/>
  <c r="A363" i="1"/>
  <c r="B363" i="1"/>
  <c r="A364" i="1"/>
  <c r="B364" i="1"/>
  <c r="A365" i="1"/>
  <c r="B365" i="1"/>
  <c r="A366" i="1"/>
  <c r="B366" i="1"/>
  <c r="A367" i="1"/>
  <c r="B367" i="1"/>
  <c r="A368" i="1"/>
  <c r="B368" i="1"/>
  <c r="A369" i="1"/>
  <c r="B369" i="1"/>
  <c r="A370" i="1"/>
  <c r="B370" i="1"/>
  <c r="A371" i="1"/>
  <c r="B371" i="1"/>
  <c r="A372" i="1"/>
  <c r="B372" i="1"/>
  <c r="A373" i="1"/>
  <c r="B373" i="1"/>
  <c r="A374" i="1"/>
  <c r="B374" i="1"/>
  <c r="A375" i="1"/>
  <c r="B375" i="1"/>
  <c r="A376" i="1"/>
  <c r="B376" i="1"/>
  <c r="A377" i="1"/>
  <c r="B377" i="1"/>
  <c r="A378" i="1"/>
  <c r="B378" i="1"/>
  <c r="A379" i="1"/>
  <c r="B379" i="1"/>
  <c r="A380" i="1"/>
  <c r="B380" i="1"/>
  <c r="A381" i="1"/>
  <c r="B381" i="1"/>
  <c r="A382" i="1"/>
  <c r="B382" i="1"/>
  <c r="A383" i="1"/>
  <c r="B383" i="1"/>
  <c r="A384" i="1"/>
  <c r="B384" i="1"/>
  <c r="A385" i="1"/>
  <c r="B385" i="1"/>
  <c r="A386" i="1"/>
  <c r="B386" i="1"/>
  <c r="A387" i="1"/>
  <c r="B387" i="1"/>
  <c r="A388" i="1"/>
  <c r="B388" i="1"/>
  <c r="A389" i="1"/>
  <c r="B389" i="1"/>
  <c r="A390" i="1"/>
  <c r="B390" i="1"/>
  <c r="A391" i="1"/>
  <c r="B391" i="1"/>
  <c r="A392" i="1"/>
  <c r="B392" i="1"/>
  <c r="A393" i="1"/>
  <c r="B393" i="1"/>
  <c r="A394" i="1"/>
  <c r="B394" i="1"/>
  <c r="A395" i="1"/>
  <c r="B395" i="1"/>
  <c r="A396" i="1"/>
  <c r="B396" i="1"/>
  <c r="A397" i="1"/>
  <c r="B397" i="1"/>
  <c r="A398" i="1"/>
  <c r="B398" i="1"/>
  <c r="A399" i="1"/>
  <c r="B399" i="1"/>
  <c r="A400" i="1"/>
  <c r="B400" i="1"/>
  <c r="A401" i="1"/>
  <c r="B401" i="1"/>
  <c r="A402" i="1"/>
  <c r="B402" i="1"/>
  <c r="A403" i="1"/>
  <c r="B403" i="1"/>
  <c r="A404" i="1"/>
  <c r="B404" i="1"/>
  <c r="A405" i="1"/>
  <c r="B405" i="1"/>
  <c r="A406" i="1"/>
  <c r="B406" i="1"/>
  <c r="A407" i="1"/>
  <c r="B407" i="1"/>
  <c r="A408" i="1"/>
  <c r="B408" i="1"/>
  <c r="A409" i="1"/>
  <c r="B409" i="1"/>
  <c r="A410" i="1"/>
  <c r="B410" i="1"/>
  <c r="A411" i="1"/>
  <c r="B411" i="1"/>
  <c r="A412" i="1"/>
  <c r="B412" i="1"/>
  <c r="A413" i="1"/>
  <c r="B413" i="1"/>
  <c r="A414" i="1"/>
  <c r="B414" i="1"/>
  <c r="A415" i="1"/>
  <c r="B415" i="1"/>
  <c r="A416" i="1"/>
  <c r="B416" i="1"/>
  <c r="A417" i="1"/>
  <c r="B417" i="1"/>
  <c r="A418" i="1"/>
  <c r="B418" i="1"/>
  <c r="A419" i="1"/>
  <c r="B419" i="1"/>
  <c r="A420" i="1"/>
  <c r="B420" i="1"/>
  <c r="A421" i="1"/>
  <c r="B421" i="1"/>
  <c r="A422" i="1"/>
  <c r="B422" i="1"/>
  <c r="A423" i="1"/>
  <c r="B423" i="1"/>
  <c r="A424" i="1"/>
  <c r="B424" i="1"/>
  <c r="A425" i="1"/>
  <c r="B425" i="1"/>
  <c r="A426" i="1"/>
  <c r="B426" i="1"/>
  <c r="A427" i="1"/>
  <c r="B427" i="1"/>
  <c r="A428" i="1"/>
  <c r="B428" i="1"/>
  <c r="A429" i="1"/>
  <c r="B429" i="1"/>
  <c r="A430" i="1"/>
  <c r="B430" i="1"/>
  <c r="A431" i="1"/>
  <c r="B431" i="1"/>
  <c r="A432" i="1"/>
  <c r="B432" i="1"/>
  <c r="A433" i="1"/>
  <c r="B433" i="1"/>
  <c r="A434" i="1"/>
  <c r="B434" i="1"/>
  <c r="A435" i="1"/>
  <c r="B435" i="1"/>
  <c r="A436" i="1"/>
  <c r="B436" i="1"/>
  <c r="A437" i="1"/>
  <c r="B437" i="1"/>
  <c r="A438" i="1"/>
  <c r="B438" i="1"/>
  <c r="A439" i="1"/>
  <c r="B439" i="1"/>
  <c r="A440" i="1"/>
  <c r="B440" i="1"/>
  <c r="A441" i="1"/>
  <c r="B441" i="1"/>
  <c r="A442" i="1"/>
  <c r="B442" i="1"/>
  <c r="A443" i="1"/>
  <c r="B443" i="1"/>
  <c r="A444" i="1"/>
  <c r="B444" i="1"/>
  <c r="A445" i="1"/>
  <c r="B445" i="1"/>
  <c r="A446" i="1"/>
  <c r="B446" i="1"/>
  <c r="A447" i="1"/>
  <c r="B447" i="1"/>
  <c r="A448" i="1"/>
  <c r="B448" i="1"/>
  <c r="A449" i="1"/>
  <c r="B449" i="1"/>
  <c r="A450" i="1"/>
  <c r="B450" i="1"/>
  <c r="A451" i="1"/>
  <c r="B451" i="1"/>
  <c r="A452" i="1"/>
  <c r="B452" i="1"/>
  <c r="A453" i="1"/>
  <c r="B453" i="1"/>
  <c r="A454" i="1"/>
  <c r="B454" i="1"/>
  <c r="A455" i="1"/>
  <c r="B455" i="1"/>
  <c r="A456" i="1"/>
  <c r="B456" i="1"/>
  <c r="A457" i="1"/>
  <c r="B457" i="1"/>
  <c r="A458" i="1"/>
  <c r="B458" i="1"/>
  <c r="A459" i="1"/>
  <c r="B459" i="1"/>
  <c r="A460" i="1"/>
  <c r="B460" i="1"/>
  <c r="A461" i="1"/>
  <c r="B461" i="1"/>
  <c r="A462" i="1"/>
  <c r="B462" i="1"/>
  <c r="A463" i="1"/>
  <c r="B463" i="1"/>
  <c r="A464" i="1"/>
  <c r="B464" i="1"/>
  <c r="A465" i="1"/>
  <c r="B465" i="1"/>
  <c r="A466" i="1"/>
  <c r="B466" i="1"/>
  <c r="A467" i="1"/>
  <c r="B467" i="1"/>
  <c r="A468" i="1"/>
  <c r="B468" i="1"/>
  <c r="A469" i="1"/>
  <c r="B469" i="1"/>
  <c r="A470" i="1"/>
  <c r="B470" i="1"/>
  <c r="A471" i="1"/>
  <c r="B471" i="1"/>
  <c r="A472" i="1"/>
  <c r="B472" i="1"/>
  <c r="A473" i="1"/>
  <c r="B473" i="1"/>
  <c r="A474" i="1"/>
  <c r="B474" i="1"/>
  <c r="A475" i="1"/>
  <c r="B475" i="1"/>
  <c r="A476" i="1"/>
  <c r="B476" i="1"/>
  <c r="A477" i="1"/>
  <c r="B477" i="1"/>
  <c r="A478" i="1"/>
  <c r="B478" i="1"/>
  <c r="A479" i="1"/>
  <c r="B479" i="1"/>
  <c r="A480" i="1"/>
  <c r="B480" i="1"/>
  <c r="A481" i="1"/>
  <c r="B481" i="1"/>
  <c r="A482" i="1"/>
  <c r="B482" i="1"/>
  <c r="A483" i="1"/>
  <c r="B483" i="1"/>
  <c r="A484" i="1"/>
  <c r="B484" i="1"/>
  <c r="A485" i="1"/>
  <c r="B485" i="1"/>
  <c r="A486" i="1"/>
  <c r="B486" i="1"/>
  <c r="A487" i="1"/>
  <c r="B487" i="1"/>
  <c r="A488" i="1"/>
  <c r="B488" i="1"/>
  <c r="A489" i="1"/>
  <c r="B489" i="1"/>
  <c r="A490" i="1"/>
  <c r="B490" i="1"/>
  <c r="A491" i="1"/>
  <c r="B491" i="1"/>
  <c r="A492" i="1"/>
  <c r="B492" i="1"/>
  <c r="A493" i="1"/>
  <c r="B493" i="1"/>
  <c r="A494" i="1"/>
  <c r="B494" i="1"/>
  <c r="A495" i="1"/>
  <c r="B495" i="1"/>
  <c r="A496" i="1"/>
  <c r="B496" i="1"/>
  <c r="A497" i="1"/>
  <c r="B497" i="1"/>
  <c r="A498" i="1"/>
  <c r="B498" i="1"/>
  <c r="A499" i="1"/>
  <c r="B499" i="1"/>
  <c r="A500" i="1"/>
  <c r="B500" i="1"/>
  <c r="A501" i="1"/>
  <c r="B501" i="1"/>
  <c r="A502" i="1"/>
  <c r="B502" i="1"/>
  <c r="A503" i="1"/>
  <c r="B503" i="1"/>
  <c r="A504" i="1"/>
  <c r="B504" i="1"/>
  <c r="A505" i="1"/>
  <c r="B505" i="1"/>
  <c r="A506" i="1"/>
  <c r="B506" i="1"/>
  <c r="A507" i="1"/>
  <c r="B507" i="1"/>
  <c r="A508" i="1"/>
  <c r="B508" i="1"/>
  <c r="A509" i="1"/>
  <c r="B509" i="1"/>
  <c r="A510" i="1"/>
  <c r="B510" i="1"/>
  <c r="A511" i="1"/>
  <c r="B511" i="1"/>
  <c r="A512" i="1"/>
  <c r="B512" i="1"/>
  <c r="A513" i="1"/>
  <c r="B513" i="1"/>
  <c r="A514" i="1"/>
  <c r="B514" i="1"/>
  <c r="A515" i="1"/>
  <c r="B515" i="1"/>
  <c r="A516" i="1"/>
  <c r="B516" i="1"/>
  <c r="A517" i="1"/>
  <c r="B517" i="1"/>
  <c r="A518" i="1"/>
  <c r="B518" i="1"/>
  <c r="A519" i="1"/>
  <c r="B519" i="1"/>
  <c r="A520" i="1"/>
  <c r="B520" i="1"/>
  <c r="A521" i="1"/>
  <c r="B521" i="1"/>
  <c r="A522" i="1"/>
  <c r="B522" i="1"/>
  <c r="A523" i="1"/>
  <c r="B523" i="1"/>
  <c r="A524" i="1"/>
  <c r="B524" i="1"/>
  <c r="A525" i="1"/>
  <c r="B525" i="1"/>
  <c r="A526" i="1"/>
  <c r="B526" i="1"/>
  <c r="A527" i="1"/>
  <c r="B527" i="1"/>
  <c r="A528" i="1"/>
  <c r="B528" i="1"/>
  <c r="A529" i="1"/>
  <c r="B529" i="1"/>
  <c r="A530" i="1"/>
  <c r="B530" i="1"/>
  <c r="A531" i="1"/>
  <c r="B531" i="1"/>
  <c r="A532" i="1"/>
  <c r="B532" i="1"/>
  <c r="A533" i="1"/>
  <c r="B533" i="1"/>
  <c r="A534" i="1"/>
  <c r="B534" i="1"/>
  <c r="A535" i="1"/>
  <c r="B535" i="1"/>
  <c r="A536" i="1"/>
  <c r="B536" i="1"/>
  <c r="A537" i="1"/>
  <c r="B537" i="1"/>
  <c r="A538" i="1"/>
  <c r="B538" i="1"/>
  <c r="A539" i="1"/>
  <c r="B539" i="1"/>
  <c r="A540" i="1"/>
  <c r="B540" i="1"/>
  <c r="A541" i="1"/>
  <c r="B541" i="1"/>
  <c r="A542" i="1"/>
  <c r="B542" i="1"/>
  <c r="A543" i="1"/>
  <c r="B543" i="1"/>
  <c r="A544" i="1"/>
  <c r="B544" i="1"/>
  <c r="A545" i="1"/>
  <c r="B545" i="1"/>
  <c r="A546" i="1"/>
  <c r="B546" i="1"/>
  <c r="A547" i="1"/>
  <c r="B547" i="1"/>
  <c r="A548" i="1"/>
  <c r="B548" i="1"/>
  <c r="A549" i="1"/>
  <c r="B549" i="1"/>
  <c r="A550" i="1"/>
  <c r="B550" i="1"/>
  <c r="A551" i="1"/>
  <c r="B551" i="1"/>
  <c r="A552" i="1"/>
  <c r="B552" i="1"/>
  <c r="A553" i="1"/>
  <c r="B553" i="1"/>
  <c r="A554" i="1"/>
  <c r="B554" i="1"/>
  <c r="A555" i="1"/>
  <c r="B555" i="1"/>
  <c r="A556" i="1"/>
  <c r="B556" i="1"/>
  <c r="A557" i="1"/>
  <c r="B557" i="1"/>
  <c r="A558" i="1"/>
  <c r="B558" i="1"/>
  <c r="A559" i="1"/>
  <c r="B559" i="1"/>
  <c r="A560" i="1"/>
  <c r="B560" i="1"/>
  <c r="A561" i="1"/>
  <c r="B561" i="1"/>
  <c r="A562" i="1"/>
  <c r="B562" i="1"/>
  <c r="A563" i="1"/>
  <c r="B563" i="1"/>
  <c r="A564" i="1"/>
  <c r="B564" i="1"/>
  <c r="A565" i="1"/>
  <c r="B565" i="1"/>
  <c r="A566" i="1"/>
  <c r="B566" i="1"/>
  <c r="A567" i="1"/>
  <c r="A568" i="1"/>
  <c r="B568" i="1"/>
  <c r="A569" i="1"/>
  <c r="B569" i="1"/>
  <c r="A570" i="1"/>
  <c r="B570" i="1"/>
  <c r="A571" i="1"/>
  <c r="B571" i="1"/>
  <c r="A572" i="1"/>
  <c r="B572" i="1"/>
  <c r="A573" i="1"/>
  <c r="B573" i="1"/>
  <c r="A574" i="1"/>
  <c r="B574" i="1"/>
  <c r="A575" i="1"/>
  <c r="B575" i="1"/>
  <c r="A576" i="1"/>
  <c r="B576" i="1"/>
  <c r="A577" i="1"/>
  <c r="B577" i="1"/>
  <c r="A578" i="1"/>
  <c r="B578" i="1"/>
  <c r="A579" i="1"/>
  <c r="B579" i="1"/>
  <c r="A580" i="1"/>
  <c r="B580" i="1"/>
  <c r="A581" i="1"/>
  <c r="B581" i="1"/>
  <c r="A582" i="1"/>
  <c r="B582" i="1"/>
  <c r="A583" i="1"/>
  <c r="B583" i="1"/>
  <c r="A584" i="1"/>
  <c r="B584" i="1"/>
  <c r="A585" i="1"/>
  <c r="B585" i="1"/>
  <c r="A586" i="1"/>
  <c r="B586" i="1"/>
  <c r="A587" i="1"/>
  <c r="B587" i="1"/>
  <c r="A588" i="1"/>
  <c r="B588" i="1"/>
  <c r="A589" i="1"/>
  <c r="B589" i="1"/>
  <c r="A590" i="1"/>
  <c r="B590" i="1"/>
  <c r="A591" i="1"/>
  <c r="B591" i="1"/>
  <c r="A592" i="1"/>
  <c r="B592" i="1"/>
  <c r="A593" i="1"/>
  <c r="B593" i="1"/>
  <c r="A594" i="1"/>
  <c r="B594" i="1"/>
  <c r="A595" i="1"/>
  <c r="B595" i="1"/>
  <c r="A596" i="1"/>
  <c r="B596" i="1"/>
  <c r="A597" i="1"/>
  <c r="B597" i="1"/>
  <c r="A598" i="1"/>
  <c r="B598" i="1"/>
  <c r="A599" i="1"/>
  <c r="B599" i="1"/>
  <c r="A600" i="1"/>
  <c r="B600" i="1"/>
  <c r="A601" i="1"/>
  <c r="B601" i="1"/>
  <c r="A602" i="1"/>
  <c r="B602" i="1"/>
  <c r="A603" i="1"/>
  <c r="B603" i="1"/>
  <c r="A604" i="1"/>
  <c r="B604" i="1"/>
  <c r="A605" i="1"/>
  <c r="B605" i="1"/>
  <c r="A606" i="1"/>
  <c r="B606" i="1"/>
  <c r="A607" i="1"/>
  <c r="B607" i="1"/>
  <c r="A608" i="1"/>
  <c r="B608" i="1"/>
  <c r="A609" i="1"/>
  <c r="B609" i="1"/>
  <c r="A610" i="1"/>
  <c r="B610" i="1"/>
  <c r="A611" i="1"/>
  <c r="B611" i="1"/>
  <c r="A612" i="1"/>
  <c r="B612" i="1"/>
  <c r="A613" i="1"/>
  <c r="B613" i="1"/>
  <c r="A614" i="1"/>
  <c r="B614" i="1"/>
  <c r="A615" i="1"/>
  <c r="B615" i="1"/>
  <c r="A616" i="1"/>
  <c r="B616" i="1"/>
  <c r="A617" i="1"/>
  <c r="B617" i="1"/>
  <c r="A618" i="1"/>
  <c r="B618" i="1"/>
  <c r="A619" i="1"/>
  <c r="B619" i="1"/>
  <c r="A620" i="1"/>
  <c r="B620" i="1"/>
  <c r="A621" i="1"/>
  <c r="B621" i="1"/>
  <c r="A622" i="1"/>
  <c r="B622" i="1"/>
  <c r="A623" i="1"/>
  <c r="B623" i="1"/>
  <c r="A624" i="1"/>
  <c r="B624" i="1"/>
  <c r="A625" i="1"/>
  <c r="B625" i="1"/>
  <c r="A626" i="1"/>
  <c r="B626" i="1"/>
  <c r="A627" i="1"/>
  <c r="B627" i="1"/>
  <c r="A628" i="1"/>
  <c r="B628" i="1"/>
  <c r="A629" i="1"/>
  <c r="B629" i="1"/>
  <c r="A630" i="1"/>
  <c r="B630" i="1"/>
  <c r="A631" i="1"/>
  <c r="B631" i="1"/>
  <c r="A632" i="1"/>
  <c r="B632" i="1"/>
  <c r="A633" i="1"/>
  <c r="B633" i="1"/>
  <c r="A634" i="1"/>
  <c r="B634" i="1"/>
  <c r="A635" i="1"/>
  <c r="B635" i="1"/>
  <c r="A636" i="1"/>
  <c r="B636" i="1"/>
  <c r="A637" i="1"/>
  <c r="B637" i="1"/>
  <c r="A638" i="1"/>
  <c r="B638" i="1"/>
  <c r="A639" i="1"/>
  <c r="B639" i="1"/>
  <c r="A640" i="1"/>
  <c r="B640" i="1"/>
  <c r="A641" i="1"/>
  <c r="B641" i="1"/>
  <c r="A642" i="1"/>
  <c r="B642" i="1"/>
  <c r="A643" i="1"/>
  <c r="B643" i="1"/>
  <c r="A644" i="1"/>
  <c r="B644" i="1"/>
  <c r="A645" i="1"/>
  <c r="B645" i="1"/>
  <c r="A646" i="1"/>
  <c r="B646" i="1"/>
  <c r="A647" i="1"/>
  <c r="B647" i="1"/>
  <c r="A648" i="1"/>
  <c r="B648" i="1"/>
  <c r="A649" i="1"/>
  <c r="B649" i="1"/>
  <c r="A650" i="1"/>
  <c r="B650" i="1"/>
  <c r="A651" i="1"/>
  <c r="B651" i="1"/>
  <c r="A652" i="1"/>
  <c r="B652" i="1"/>
  <c r="A653" i="1"/>
  <c r="B653" i="1"/>
  <c r="A654" i="1"/>
  <c r="B654" i="1"/>
  <c r="A655" i="1"/>
  <c r="B655" i="1"/>
  <c r="A656" i="1"/>
  <c r="B656" i="1"/>
  <c r="A657" i="1"/>
  <c r="B657" i="1"/>
  <c r="A658" i="1"/>
  <c r="B658" i="1"/>
  <c r="A659" i="1"/>
  <c r="B659" i="1"/>
  <c r="A660" i="1"/>
  <c r="B660" i="1"/>
  <c r="A661" i="1"/>
  <c r="B661" i="1"/>
  <c r="A662" i="1"/>
  <c r="B662" i="1"/>
  <c r="A663" i="1"/>
  <c r="B663" i="1"/>
  <c r="A664" i="1"/>
  <c r="B664" i="1"/>
  <c r="A665" i="1"/>
  <c r="B665" i="1"/>
  <c r="A666" i="1"/>
  <c r="B666" i="1"/>
  <c r="A667" i="1"/>
  <c r="B667" i="1"/>
  <c r="A668" i="1"/>
  <c r="B668" i="1"/>
  <c r="A669" i="1"/>
  <c r="B669" i="1"/>
  <c r="A670" i="1"/>
  <c r="B670" i="1"/>
  <c r="A671" i="1"/>
  <c r="B671" i="1"/>
  <c r="A672" i="1"/>
  <c r="B672" i="1"/>
  <c r="A673" i="1"/>
  <c r="B673" i="1"/>
  <c r="A674" i="1"/>
  <c r="B674" i="1"/>
  <c r="A675" i="1"/>
  <c r="B675" i="1"/>
  <c r="A676" i="1"/>
  <c r="B676" i="1"/>
  <c r="A677" i="1"/>
  <c r="B677" i="1"/>
  <c r="A678" i="1"/>
  <c r="B678" i="1"/>
  <c r="A679" i="1"/>
  <c r="B679" i="1"/>
  <c r="A680" i="1"/>
  <c r="B680" i="1"/>
  <c r="A681" i="1"/>
  <c r="B681" i="1"/>
  <c r="A682" i="1"/>
  <c r="B682" i="1"/>
  <c r="A683" i="1"/>
  <c r="B683" i="1"/>
  <c r="A684" i="1"/>
  <c r="B684" i="1"/>
  <c r="A685" i="1"/>
  <c r="B685" i="1"/>
  <c r="A686" i="1"/>
  <c r="B686" i="1"/>
  <c r="A687" i="1"/>
  <c r="B687" i="1"/>
  <c r="A688" i="1"/>
  <c r="B688" i="1"/>
  <c r="A689" i="1"/>
  <c r="B689" i="1"/>
  <c r="A690" i="1"/>
  <c r="B690" i="1"/>
  <c r="A691" i="1"/>
  <c r="B691" i="1"/>
  <c r="A692" i="1"/>
  <c r="B692" i="1"/>
  <c r="A693" i="1"/>
  <c r="B693" i="1"/>
  <c r="A694" i="1"/>
  <c r="B694" i="1"/>
  <c r="A695" i="1"/>
  <c r="B695" i="1"/>
  <c r="A696" i="1"/>
  <c r="B696" i="1"/>
  <c r="A697" i="1"/>
  <c r="B697" i="1"/>
  <c r="A698" i="1"/>
  <c r="B698" i="1"/>
  <c r="A699" i="1"/>
  <c r="B699" i="1"/>
  <c r="A700" i="1"/>
  <c r="B700" i="1"/>
  <c r="A701" i="1"/>
  <c r="B701" i="1"/>
  <c r="A702" i="1"/>
  <c r="B702" i="1"/>
  <c r="A703" i="1"/>
  <c r="B703" i="1"/>
  <c r="A704" i="1"/>
  <c r="B704" i="1"/>
  <c r="A705" i="1"/>
  <c r="B705" i="1"/>
  <c r="A706" i="1"/>
  <c r="B706" i="1"/>
  <c r="A707" i="1"/>
  <c r="B707" i="1"/>
  <c r="A708" i="1"/>
  <c r="B708" i="1"/>
  <c r="A709" i="1"/>
  <c r="B709" i="1"/>
  <c r="A710" i="1"/>
  <c r="B710" i="1"/>
  <c r="A711" i="1"/>
  <c r="B711" i="1"/>
  <c r="A712" i="1"/>
  <c r="B712" i="1"/>
  <c r="A713" i="1"/>
  <c r="B713" i="1"/>
  <c r="A714" i="1"/>
  <c r="B714" i="1"/>
  <c r="A715" i="1"/>
  <c r="B715" i="1"/>
  <c r="A716" i="1"/>
  <c r="B716" i="1"/>
  <c r="A717" i="1"/>
  <c r="B717" i="1"/>
  <c r="A718" i="1"/>
  <c r="B718" i="1"/>
  <c r="A719" i="1"/>
  <c r="B719" i="1"/>
  <c r="A720" i="1"/>
  <c r="B720" i="1"/>
  <c r="A721" i="1"/>
  <c r="B721" i="1"/>
  <c r="A722" i="1"/>
  <c r="B722" i="1"/>
  <c r="A723" i="1"/>
  <c r="B723" i="1"/>
  <c r="A724" i="1"/>
  <c r="B724" i="1"/>
  <c r="A725" i="1"/>
  <c r="B725" i="1"/>
  <c r="A726" i="1"/>
  <c r="B726" i="1"/>
  <c r="A727" i="1"/>
  <c r="B727" i="1"/>
  <c r="A728" i="1"/>
  <c r="B728" i="1"/>
  <c r="A729" i="1"/>
  <c r="B729" i="1"/>
  <c r="A730" i="1"/>
  <c r="B730" i="1"/>
  <c r="A731" i="1"/>
  <c r="B731" i="1"/>
  <c r="A732" i="1"/>
  <c r="B732" i="1"/>
  <c r="A733" i="1"/>
  <c r="B733" i="1"/>
  <c r="A734" i="1"/>
  <c r="B734" i="1"/>
  <c r="A735" i="1"/>
  <c r="B735" i="1"/>
  <c r="A736" i="1"/>
  <c r="B736" i="1"/>
  <c r="A737" i="1"/>
  <c r="B737" i="1"/>
  <c r="A738" i="1"/>
  <c r="B738" i="1"/>
  <c r="A739" i="1"/>
  <c r="B739" i="1"/>
  <c r="A740" i="1"/>
  <c r="B740" i="1"/>
  <c r="A741" i="1"/>
  <c r="B741" i="1"/>
  <c r="A742" i="1"/>
  <c r="B742" i="1"/>
  <c r="A743" i="1"/>
  <c r="B743" i="1"/>
  <c r="A744" i="1"/>
  <c r="B744" i="1"/>
  <c r="A745" i="1"/>
  <c r="B745" i="1"/>
  <c r="A746" i="1"/>
  <c r="B746" i="1"/>
  <c r="A747" i="1"/>
  <c r="B747" i="1"/>
  <c r="A748" i="1"/>
  <c r="B748" i="1"/>
  <c r="A749" i="1"/>
  <c r="B749" i="1"/>
  <c r="A750" i="1"/>
  <c r="B750" i="1"/>
  <c r="A751" i="1"/>
  <c r="B751" i="1"/>
  <c r="A752" i="1"/>
  <c r="B752" i="1"/>
  <c r="A753" i="1"/>
  <c r="B753" i="1"/>
  <c r="A754" i="1"/>
  <c r="B754" i="1"/>
  <c r="A755" i="1"/>
  <c r="B755" i="1"/>
  <c r="A756" i="1"/>
  <c r="B756" i="1"/>
  <c r="A757" i="1"/>
  <c r="B757" i="1"/>
  <c r="A758" i="1"/>
  <c r="B758" i="1"/>
  <c r="A759" i="1"/>
  <c r="B759" i="1"/>
  <c r="A760" i="1"/>
  <c r="B760" i="1"/>
  <c r="A761" i="1"/>
  <c r="B761" i="1"/>
  <c r="A762" i="1"/>
  <c r="B762" i="1"/>
  <c r="A763" i="1"/>
  <c r="B763" i="1"/>
  <c r="A764" i="1"/>
  <c r="B764" i="1"/>
  <c r="A765" i="1"/>
  <c r="B765" i="1"/>
  <c r="A766" i="1"/>
  <c r="B766" i="1"/>
  <c r="A767" i="1"/>
  <c r="B767" i="1"/>
  <c r="A768" i="1"/>
  <c r="B768" i="1"/>
  <c r="A769" i="1"/>
  <c r="B769" i="1"/>
  <c r="A770" i="1"/>
  <c r="B770" i="1"/>
  <c r="A771" i="1"/>
  <c r="B771" i="1"/>
  <c r="A772" i="1"/>
  <c r="B772" i="1"/>
  <c r="A773" i="1"/>
  <c r="B773" i="1"/>
  <c r="A774" i="1"/>
  <c r="B774" i="1"/>
  <c r="A775" i="1"/>
  <c r="B775" i="1"/>
  <c r="A776" i="1"/>
  <c r="B776" i="1"/>
  <c r="A777" i="1"/>
  <c r="B777" i="1"/>
  <c r="A778" i="1"/>
  <c r="B778" i="1"/>
  <c r="A779" i="1"/>
  <c r="B779" i="1"/>
  <c r="A780" i="1"/>
  <c r="B780" i="1"/>
  <c r="A781" i="1"/>
  <c r="B781" i="1"/>
  <c r="A782" i="1"/>
  <c r="B782" i="1"/>
  <c r="A783" i="1"/>
  <c r="B783" i="1"/>
  <c r="A784" i="1"/>
  <c r="B784" i="1"/>
  <c r="A785" i="1"/>
  <c r="B785" i="1"/>
  <c r="A786" i="1"/>
  <c r="B786" i="1"/>
  <c r="A787" i="1"/>
  <c r="B787" i="1"/>
  <c r="A788" i="1"/>
  <c r="B788" i="1"/>
  <c r="A789" i="1"/>
  <c r="B789" i="1"/>
  <c r="A790" i="1"/>
  <c r="B790" i="1"/>
  <c r="A791" i="1"/>
  <c r="B791" i="1"/>
  <c r="A792" i="1"/>
  <c r="B792" i="1"/>
  <c r="A793" i="1"/>
  <c r="B793" i="1"/>
  <c r="A794" i="1"/>
  <c r="B794" i="1"/>
  <c r="A795" i="1"/>
  <c r="B795" i="1"/>
  <c r="A796" i="1"/>
  <c r="B796" i="1"/>
  <c r="A797" i="1"/>
  <c r="B797" i="1"/>
  <c r="A798" i="1"/>
  <c r="B798" i="1"/>
  <c r="A799" i="1"/>
  <c r="B799" i="1"/>
  <c r="A800" i="1"/>
  <c r="B800" i="1"/>
  <c r="A801" i="1"/>
  <c r="B801" i="1"/>
  <c r="A802" i="1"/>
  <c r="B802" i="1"/>
  <c r="A803" i="1"/>
  <c r="B803" i="1"/>
  <c r="A804" i="1"/>
  <c r="B804" i="1"/>
  <c r="A805" i="1"/>
  <c r="B805" i="1"/>
  <c r="A806" i="1"/>
  <c r="B806" i="1"/>
  <c r="A807" i="1"/>
  <c r="B807" i="1"/>
  <c r="A808" i="1"/>
  <c r="B808" i="1"/>
  <c r="A809" i="1"/>
  <c r="B809" i="1"/>
  <c r="A810" i="1"/>
  <c r="B810" i="1"/>
  <c r="A811" i="1"/>
  <c r="B811" i="1"/>
  <c r="A812" i="1"/>
  <c r="B812" i="1"/>
  <c r="A813" i="1"/>
  <c r="B813" i="1"/>
  <c r="A814" i="1"/>
  <c r="B814" i="1"/>
  <c r="A815" i="1"/>
  <c r="B815" i="1"/>
  <c r="A816" i="1"/>
  <c r="B816" i="1"/>
  <c r="A817" i="1"/>
  <c r="B817" i="1"/>
  <c r="A818" i="1"/>
  <c r="B818" i="1"/>
  <c r="A819" i="1"/>
  <c r="B819" i="1"/>
  <c r="A820" i="1"/>
  <c r="B820" i="1"/>
  <c r="A821" i="1"/>
  <c r="B821" i="1"/>
  <c r="A822" i="1"/>
  <c r="B822" i="1"/>
  <c r="A823" i="1"/>
  <c r="B823" i="1"/>
  <c r="A824" i="1"/>
  <c r="B824" i="1"/>
  <c r="A825" i="1"/>
  <c r="B825" i="1"/>
  <c r="A826" i="1"/>
  <c r="B826" i="1"/>
  <c r="A827" i="1"/>
  <c r="B827" i="1"/>
  <c r="A828" i="1"/>
  <c r="B828" i="1"/>
  <c r="A829" i="1"/>
  <c r="B829" i="1"/>
  <c r="A830" i="1"/>
  <c r="B830" i="1"/>
  <c r="A831" i="1"/>
  <c r="B831" i="1"/>
  <c r="A832" i="1"/>
  <c r="B832" i="1"/>
  <c r="A833" i="1"/>
  <c r="B833" i="1"/>
  <c r="A834" i="1"/>
  <c r="B834" i="1"/>
  <c r="A835" i="1"/>
  <c r="B835" i="1"/>
  <c r="A836" i="1"/>
  <c r="B836" i="1"/>
  <c r="A837" i="1"/>
  <c r="B837" i="1"/>
  <c r="A838" i="1"/>
  <c r="B838" i="1"/>
  <c r="A839" i="1"/>
  <c r="B839" i="1"/>
  <c r="A840" i="1"/>
  <c r="B840" i="1"/>
  <c r="A841" i="1"/>
  <c r="B841" i="1"/>
  <c r="A842" i="1"/>
  <c r="B842" i="1"/>
  <c r="A843" i="1"/>
  <c r="B843" i="1"/>
  <c r="A844" i="1"/>
  <c r="B844" i="1"/>
  <c r="A845" i="1"/>
  <c r="B845" i="1"/>
  <c r="A846" i="1"/>
  <c r="B846" i="1"/>
  <c r="A847" i="1"/>
  <c r="B847" i="1"/>
  <c r="A848" i="1"/>
  <c r="B848" i="1"/>
  <c r="A849" i="1"/>
  <c r="B849" i="1"/>
  <c r="A850" i="1"/>
  <c r="B850" i="1"/>
  <c r="A851" i="1"/>
  <c r="B851" i="1"/>
  <c r="A852" i="1"/>
  <c r="B852" i="1"/>
  <c r="A853" i="1"/>
  <c r="B853" i="1"/>
  <c r="A854" i="1"/>
  <c r="B854" i="1"/>
  <c r="A855" i="1"/>
  <c r="B855" i="1"/>
  <c r="A856" i="1"/>
  <c r="B856" i="1"/>
  <c r="A857" i="1"/>
  <c r="B857" i="1"/>
  <c r="A858" i="1"/>
  <c r="B858" i="1"/>
  <c r="A859" i="1"/>
  <c r="B859" i="1"/>
  <c r="A860" i="1"/>
  <c r="B860" i="1"/>
  <c r="A861" i="1"/>
  <c r="B861" i="1"/>
  <c r="A862" i="1"/>
  <c r="B862" i="1"/>
  <c r="A863" i="1"/>
  <c r="B863" i="1"/>
  <c r="A864" i="1"/>
  <c r="B864" i="1"/>
  <c r="A865" i="1"/>
  <c r="B865" i="1"/>
  <c r="A866" i="1"/>
  <c r="B866" i="1"/>
  <c r="A867" i="1"/>
  <c r="B867" i="1"/>
  <c r="A868" i="1"/>
  <c r="B868" i="1"/>
  <c r="A869" i="1"/>
  <c r="B869" i="1"/>
  <c r="A870" i="1"/>
  <c r="B870" i="1"/>
  <c r="A871" i="1"/>
  <c r="B871" i="1"/>
  <c r="A872" i="1"/>
  <c r="B872" i="1"/>
  <c r="A873" i="1"/>
  <c r="B873" i="1"/>
  <c r="A874" i="1"/>
  <c r="B874" i="1"/>
  <c r="A875" i="1"/>
  <c r="B875" i="1"/>
  <c r="A876" i="1"/>
  <c r="B876" i="1"/>
  <c r="A877" i="1"/>
  <c r="B877" i="1"/>
  <c r="A878" i="1"/>
  <c r="B878" i="1"/>
  <c r="A879" i="1"/>
  <c r="B879" i="1"/>
  <c r="A880" i="1"/>
  <c r="B880" i="1"/>
  <c r="A881" i="1"/>
  <c r="B881" i="1"/>
  <c r="A882" i="1"/>
  <c r="B882" i="1"/>
  <c r="A883" i="1"/>
  <c r="B883" i="1"/>
  <c r="A884" i="1"/>
  <c r="B884" i="1"/>
  <c r="A885" i="1"/>
  <c r="B885" i="1"/>
  <c r="A886" i="1"/>
  <c r="B886" i="1"/>
  <c r="A887" i="1"/>
  <c r="B887" i="1"/>
  <c r="A888" i="1"/>
  <c r="B888" i="1"/>
  <c r="A889" i="1"/>
  <c r="B889" i="1"/>
  <c r="A890" i="1"/>
  <c r="B890" i="1"/>
  <c r="A891" i="1"/>
  <c r="B891" i="1"/>
  <c r="A892" i="1"/>
  <c r="B892" i="1"/>
  <c r="A893" i="1"/>
  <c r="B893" i="1"/>
  <c r="A894" i="1"/>
  <c r="B894" i="1"/>
  <c r="A895" i="1"/>
  <c r="B895" i="1"/>
  <c r="A896" i="1"/>
  <c r="B896" i="1"/>
  <c r="A897" i="1"/>
  <c r="B897" i="1"/>
  <c r="A898" i="1"/>
  <c r="B898" i="1"/>
  <c r="A899" i="1"/>
  <c r="B899" i="1"/>
  <c r="A900" i="1"/>
  <c r="B900" i="1"/>
  <c r="A901" i="1"/>
  <c r="B901" i="1"/>
  <c r="A902" i="1"/>
  <c r="B902" i="1"/>
  <c r="A903" i="1"/>
  <c r="B903" i="1"/>
  <c r="A904" i="1"/>
  <c r="B904" i="1"/>
  <c r="A905" i="1"/>
  <c r="B905" i="1"/>
  <c r="A906" i="1"/>
  <c r="B906" i="1"/>
  <c r="A907" i="1"/>
  <c r="B907" i="1"/>
  <c r="A908" i="1"/>
  <c r="B908" i="1"/>
  <c r="A909" i="1"/>
  <c r="B909" i="1"/>
  <c r="A910" i="1"/>
  <c r="B910" i="1"/>
  <c r="A911" i="1"/>
  <c r="B911" i="1"/>
  <c r="A912" i="1"/>
  <c r="B912" i="1"/>
  <c r="A913" i="1"/>
  <c r="B913" i="1"/>
  <c r="A914" i="1"/>
  <c r="B914" i="1"/>
  <c r="A915" i="1"/>
  <c r="B915" i="1"/>
  <c r="A916" i="1"/>
  <c r="B916" i="1"/>
  <c r="A917" i="1"/>
  <c r="B917" i="1"/>
  <c r="A918" i="1"/>
  <c r="B918" i="1"/>
  <c r="A919" i="1"/>
  <c r="B919" i="1"/>
  <c r="A920" i="1"/>
  <c r="B920" i="1"/>
  <c r="A921" i="1"/>
  <c r="B921" i="1"/>
  <c r="A922" i="1"/>
  <c r="B922" i="1"/>
  <c r="A923" i="1"/>
  <c r="B923" i="1"/>
  <c r="A924" i="1"/>
  <c r="B924" i="1"/>
  <c r="A925" i="1"/>
  <c r="B925" i="1"/>
  <c r="A926" i="1"/>
  <c r="B926" i="1"/>
  <c r="A927" i="1"/>
  <c r="B927" i="1"/>
  <c r="A928" i="1"/>
  <c r="B928" i="1"/>
  <c r="A929" i="1"/>
  <c r="B929" i="1"/>
  <c r="A930" i="1"/>
  <c r="B930" i="1"/>
  <c r="A931" i="1"/>
  <c r="B931" i="1"/>
  <c r="A932" i="1"/>
  <c r="B932" i="1"/>
  <c r="A933" i="1"/>
  <c r="B933" i="1"/>
  <c r="A934" i="1"/>
  <c r="B934" i="1"/>
  <c r="A935" i="1"/>
  <c r="B935" i="1"/>
  <c r="A936" i="1"/>
  <c r="B936" i="1"/>
  <c r="A937" i="1"/>
  <c r="B937" i="1"/>
  <c r="A938" i="1"/>
  <c r="B938" i="1"/>
  <c r="A939" i="1"/>
  <c r="B939" i="1"/>
  <c r="A940" i="1"/>
  <c r="B940" i="1"/>
  <c r="A941" i="1"/>
  <c r="B941" i="1"/>
  <c r="A942" i="1"/>
  <c r="B942" i="1"/>
  <c r="A943" i="1"/>
  <c r="B943" i="1"/>
  <c r="A944" i="1"/>
  <c r="B944" i="1"/>
  <c r="A945" i="1"/>
  <c r="B945" i="1"/>
  <c r="A946" i="1"/>
  <c r="B946" i="1"/>
  <c r="A947" i="1"/>
  <c r="B947" i="1"/>
  <c r="A948" i="1"/>
  <c r="B948" i="1"/>
  <c r="A949" i="1"/>
  <c r="B949" i="1"/>
  <c r="A950" i="1"/>
  <c r="B950" i="1"/>
  <c r="A951" i="1"/>
  <c r="B951" i="1"/>
  <c r="A952" i="1"/>
  <c r="B952" i="1"/>
  <c r="A953" i="1"/>
  <c r="B953" i="1"/>
  <c r="A954" i="1"/>
  <c r="B954" i="1"/>
  <c r="A955" i="1"/>
  <c r="B955" i="1"/>
  <c r="A956" i="1"/>
  <c r="B956" i="1"/>
  <c r="A957" i="1"/>
  <c r="B957" i="1"/>
  <c r="A958" i="1"/>
  <c r="B958" i="1"/>
  <c r="A959" i="1"/>
  <c r="B959" i="1"/>
  <c r="A960" i="1"/>
  <c r="B960" i="1"/>
  <c r="A961" i="1"/>
  <c r="B961" i="1"/>
  <c r="A962" i="1"/>
  <c r="B962" i="1"/>
  <c r="A963" i="1"/>
  <c r="B963" i="1"/>
  <c r="A964" i="1"/>
  <c r="B964" i="1"/>
  <c r="A965" i="1"/>
  <c r="B965" i="1"/>
  <c r="A966" i="1"/>
  <c r="B966" i="1"/>
  <c r="A967" i="1"/>
  <c r="B967" i="1"/>
  <c r="A968" i="1"/>
  <c r="B968" i="1"/>
  <c r="A969" i="1"/>
  <c r="B969" i="1"/>
  <c r="A970" i="1"/>
  <c r="B970" i="1"/>
  <c r="A971" i="1"/>
  <c r="B971" i="1"/>
  <c r="A972" i="1"/>
  <c r="B972" i="1"/>
  <c r="A973" i="1"/>
  <c r="B973" i="1"/>
  <c r="A974" i="1"/>
  <c r="B974" i="1"/>
  <c r="A975" i="1"/>
  <c r="B975" i="1"/>
  <c r="A976" i="1"/>
  <c r="B976" i="1"/>
  <c r="A977" i="1"/>
  <c r="B977" i="1"/>
  <c r="A978" i="1"/>
  <c r="B978" i="1"/>
  <c r="A979" i="1"/>
  <c r="B979" i="1"/>
  <c r="A980" i="1"/>
  <c r="B980" i="1"/>
  <c r="A981" i="1"/>
  <c r="B981" i="1"/>
  <c r="A982" i="1"/>
  <c r="B982" i="1"/>
  <c r="A983" i="1"/>
  <c r="B983" i="1"/>
  <c r="A984" i="1"/>
  <c r="B984" i="1"/>
  <c r="A985" i="1"/>
  <c r="B985" i="1"/>
  <c r="A986" i="1"/>
  <c r="B986" i="1"/>
  <c r="A987" i="1"/>
  <c r="B987" i="1"/>
  <c r="A988" i="1"/>
  <c r="B988" i="1"/>
  <c r="A989" i="1"/>
  <c r="B989" i="1"/>
  <c r="A990" i="1"/>
  <c r="B990" i="1"/>
  <c r="A991" i="1"/>
  <c r="B991" i="1"/>
  <c r="A992" i="1"/>
  <c r="B992" i="1"/>
  <c r="A993" i="1"/>
  <c r="B993" i="1"/>
  <c r="A994" i="1"/>
  <c r="B994" i="1"/>
  <c r="A995" i="1"/>
  <c r="B995" i="1"/>
  <c r="A996" i="1"/>
  <c r="B996" i="1"/>
  <c r="A997" i="1"/>
  <c r="B997" i="1"/>
  <c r="A998" i="1"/>
  <c r="B998" i="1"/>
  <c r="A999" i="1"/>
  <c r="B999" i="1"/>
  <c r="A1000" i="1"/>
  <c r="B1000" i="1"/>
  <c r="A1001" i="1"/>
  <c r="B1001" i="1"/>
  <c r="A1002" i="1"/>
  <c r="B1002" i="1"/>
  <c r="A1003" i="1"/>
  <c r="B1003" i="1"/>
  <c r="A1004" i="1"/>
  <c r="B1004" i="1"/>
  <c r="A1005" i="1"/>
  <c r="B1005" i="1"/>
  <c r="A1006" i="1"/>
  <c r="B1006" i="1"/>
  <c r="A1007" i="1"/>
  <c r="B1007" i="1"/>
  <c r="A1008" i="1"/>
  <c r="B1008" i="1"/>
  <c r="A1009" i="1"/>
  <c r="B1009" i="1"/>
  <c r="A1010" i="1"/>
  <c r="B1010" i="1"/>
  <c r="A1011" i="1"/>
  <c r="B1011" i="1"/>
  <c r="A1012" i="1"/>
  <c r="B1012" i="1"/>
  <c r="A1013" i="1"/>
  <c r="B1013" i="1"/>
  <c r="A1014" i="1"/>
  <c r="B1014" i="1"/>
  <c r="A1015" i="1"/>
  <c r="B1015" i="1"/>
  <c r="A1016" i="1"/>
  <c r="B1016" i="1"/>
  <c r="A1017" i="1"/>
  <c r="B1017" i="1"/>
  <c r="A1018" i="1"/>
  <c r="B1018" i="1"/>
  <c r="A1019" i="1"/>
  <c r="B1019" i="1"/>
  <c r="A1020" i="1"/>
  <c r="B1020" i="1"/>
  <c r="A1021" i="1"/>
  <c r="B1021" i="1"/>
  <c r="A1022" i="1"/>
  <c r="B1022" i="1"/>
  <c r="A1023" i="1"/>
  <c r="B1023" i="1"/>
  <c r="A1024" i="1"/>
  <c r="B1024" i="1"/>
  <c r="A1025" i="1"/>
  <c r="B1025" i="1"/>
  <c r="A1026" i="1"/>
  <c r="B1026" i="1"/>
  <c r="A1027" i="1"/>
  <c r="B1027" i="1"/>
  <c r="A1028" i="1"/>
  <c r="B1028" i="1"/>
  <c r="A1029" i="1"/>
  <c r="B1029" i="1"/>
  <c r="A1030" i="1"/>
  <c r="B1030" i="1"/>
  <c r="A1031" i="1"/>
  <c r="B1031" i="1"/>
  <c r="A1032" i="1"/>
  <c r="B1032" i="1"/>
  <c r="A1033" i="1"/>
  <c r="B1033" i="1"/>
  <c r="A1034" i="1"/>
  <c r="B1034" i="1"/>
  <c r="A1035" i="1"/>
  <c r="B1035" i="1"/>
  <c r="A1036" i="1"/>
  <c r="B1036" i="1"/>
  <c r="A1037" i="1"/>
  <c r="B1037" i="1"/>
  <c r="A1038" i="1"/>
  <c r="B1038" i="1"/>
  <c r="A1039" i="1"/>
  <c r="B1039" i="1"/>
  <c r="A1040" i="1"/>
  <c r="B1040" i="1"/>
  <c r="A1041" i="1"/>
  <c r="B1041" i="1"/>
  <c r="A1042" i="1"/>
  <c r="B1042" i="1"/>
  <c r="A1043" i="1"/>
  <c r="B1043" i="1"/>
  <c r="A1044" i="1"/>
  <c r="B1044" i="1"/>
  <c r="A1045" i="1"/>
  <c r="B1045" i="1"/>
  <c r="A1046" i="1"/>
  <c r="B1046" i="1"/>
  <c r="A1047" i="1"/>
  <c r="B1047" i="1"/>
  <c r="A1048" i="1"/>
  <c r="A1049" i="1"/>
  <c r="B1049" i="1"/>
  <c r="A1050" i="1"/>
  <c r="B1050" i="1"/>
  <c r="A1051" i="1"/>
  <c r="A1052" i="1"/>
  <c r="B1052" i="1"/>
  <c r="A1053" i="1"/>
  <c r="B1053" i="1"/>
  <c r="A1054" i="1"/>
  <c r="B1054" i="1"/>
  <c r="A1055" i="1"/>
  <c r="A1056" i="1"/>
  <c r="B1056" i="1"/>
  <c r="A1057" i="1"/>
  <c r="B1057" i="1"/>
  <c r="A1058" i="1"/>
  <c r="B1058" i="1"/>
  <c r="A1059" i="1"/>
  <c r="B1059" i="1"/>
  <c r="A1060" i="1"/>
  <c r="B1060" i="1"/>
  <c r="A1061" i="1"/>
  <c r="B1061" i="1"/>
  <c r="A1062" i="1"/>
  <c r="B1062" i="1"/>
  <c r="A1063" i="1"/>
  <c r="B1063" i="1"/>
  <c r="A1064" i="1"/>
  <c r="B1064" i="1"/>
  <c r="A1065" i="1"/>
  <c r="B1065" i="1"/>
  <c r="A1066" i="1"/>
  <c r="B1066" i="1"/>
  <c r="A1067" i="1"/>
  <c r="B1067" i="1"/>
  <c r="A1068" i="1"/>
  <c r="B1068" i="1"/>
  <c r="A1069" i="1"/>
  <c r="B1069" i="1"/>
  <c r="A1070" i="1"/>
  <c r="B1070" i="1"/>
  <c r="A1071" i="1"/>
  <c r="B1071" i="1"/>
  <c r="A1072" i="1"/>
  <c r="B1072" i="1"/>
  <c r="A1073" i="1"/>
  <c r="B1073" i="1"/>
  <c r="A1074" i="1"/>
  <c r="B1074" i="1"/>
  <c r="A1075" i="1"/>
  <c r="B1075" i="1"/>
  <c r="A1076" i="1"/>
  <c r="B1076" i="1"/>
  <c r="A1077" i="1"/>
  <c r="B1077" i="1"/>
  <c r="A1078" i="1"/>
  <c r="B1078" i="1"/>
  <c r="A1079" i="1"/>
  <c r="B1079" i="1"/>
  <c r="A1080" i="1"/>
  <c r="B1080" i="1"/>
  <c r="A1081" i="1"/>
  <c r="B1081" i="1"/>
  <c r="A1082" i="1"/>
  <c r="B1082" i="1"/>
  <c r="A1083" i="1"/>
  <c r="B1083" i="1"/>
  <c r="A1084" i="1"/>
  <c r="B1084" i="1"/>
  <c r="A1085" i="1"/>
  <c r="B1085" i="1"/>
  <c r="A1086" i="1"/>
  <c r="B1086" i="1"/>
  <c r="A1087" i="1"/>
  <c r="B1087" i="1"/>
  <c r="A1088" i="1"/>
  <c r="B1088" i="1"/>
  <c r="A1089" i="1"/>
  <c r="B1089" i="1"/>
  <c r="A1090" i="1"/>
  <c r="B1090" i="1"/>
  <c r="A1091" i="1"/>
  <c r="A1092" i="1"/>
  <c r="B1092" i="1"/>
  <c r="A1093" i="1"/>
  <c r="B1093" i="1"/>
  <c r="A1094" i="1"/>
  <c r="B1094" i="1"/>
  <c r="A1095" i="1"/>
  <c r="B1095" i="1"/>
  <c r="A1096" i="1"/>
  <c r="B1096" i="1"/>
  <c r="A1097" i="1"/>
  <c r="B1097" i="1"/>
  <c r="A1098" i="1"/>
  <c r="B1098" i="1"/>
  <c r="A1099" i="1"/>
  <c r="B1099" i="1"/>
  <c r="A1100" i="1"/>
  <c r="B1100" i="1"/>
  <c r="A1101" i="1"/>
  <c r="B1101" i="1"/>
  <c r="A1102" i="1"/>
  <c r="B1102" i="1"/>
  <c r="A1103" i="1"/>
  <c r="B1103" i="1"/>
  <c r="A1104" i="1"/>
  <c r="B1104" i="1"/>
  <c r="A1105" i="1"/>
  <c r="B1105" i="1"/>
  <c r="A1106" i="1"/>
  <c r="B1106" i="1"/>
  <c r="A1107" i="1"/>
  <c r="B1107" i="1"/>
  <c r="A1108" i="1"/>
  <c r="B1108" i="1"/>
  <c r="A1109" i="1"/>
  <c r="B1109" i="1"/>
  <c r="A1110" i="1"/>
  <c r="B1110" i="1"/>
  <c r="A1111" i="1"/>
  <c r="B1111" i="1"/>
  <c r="A1112" i="1"/>
  <c r="B1112" i="1"/>
  <c r="A1113" i="1"/>
  <c r="B1113" i="1"/>
  <c r="A1114" i="1"/>
  <c r="B1114" i="1"/>
  <c r="A1115" i="1"/>
  <c r="B1115" i="1"/>
  <c r="A1116" i="1"/>
  <c r="B1116" i="1"/>
  <c r="A1117" i="1"/>
  <c r="B1117" i="1"/>
  <c r="A1118" i="1"/>
  <c r="B1118" i="1"/>
  <c r="A1119" i="1"/>
  <c r="B1119" i="1"/>
  <c r="A1120" i="1"/>
  <c r="B1120" i="1"/>
  <c r="A1121" i="1"/>
  <c r="B1121" i="1"/>
  <c r="A1122" i="1"/>
  <c r="B1122" i="1"/>
  <c r="A1123" i="1"/>
  <c r="B1123" i="1"/>
  <c r="A1124" i="1"/>
  <c r="B1124" i="1"/>
  <c r="A1125" i="1"/>
  <c r="B1125" i="1"/>
  <c r="A1126" i="1"/>
  <c r="B1126" i="1"/>
  <c r="A1127" i="1"/>
  <c r="B1127" i="1"/>
  <c r="A1128" i="1"/>
  <c r="B1128" i="1"/>
  <c r="A1129" i="1"/>
  <c r="B1129" i="1"/>
  <c r="A1130" i="1"/>
  <c r="B1130" i="1"/>
  <c r="A1131" i="1"/>
  <c r="B1131" i="1"/>
  <c r="A1132" i="1"/>
  <c r="B1132" i="1"/>
  <c r="A1133" i="1"/>
  <c r="B1133" i="1"/>
  <c r="A1134" i="1"/>
  <c r="B1134" i="1"/>
  <c r="A1135" i="1"/>
  <c r="B1135" i="1"/>
  <c r="A1136" i="1"/>
  <c r="B1136" i="1"/>
  <c r="A1137" i="1"/>
  <c r="B1137" i="1"/>
  <c r="A1138" i="1"/>
  <c r="B1138" i="1"/>
  <c r="A1139" i="1"/>
  <c r="B1139" i="1"/>
  <c r="A1140" i="1"/>
  <c r="B1140" i="1"/>
  <c r="A1141" i="1"/>
  <c r="B1141" i="1"/>
  <c r="A1142" i="1"/>
  <c r="B1142" i="1"/>
  <c r="A1143" i="1"/>
  <c r="B1143" i="1"/>
  <c r="A1144" i="1"/>
  <c r="B1144" i="1"/>
  <c r="A1145" i="1"/>
  <c r="B1145" i="1"/>
  <c r="A1146" i="1"/>
  <c r="B1146" i="1"/>
  <c r="A1147" i="1"/>
  <c r="B1147" i="1"/>
  <c r="A1148" i="1"/>
  <c r="B1148" i="1"/>
  <c r="A1149" i="1"/>
  <c r="B1149" i="1"/>
  <c r="A1150" i="1"/>
  <c r="B1150" i="1"/>
  <c r="A1151" i="1"/>
  <c r="B1151" i="1"/>
  <c r="A1152" i="1"/>
  <c r="B1152" i="1"/>
  <c r="A1153" i="1"/>
  <c r="B1153" i="1"/>
  <c r="A1154" i="1"/>
  <c r="B1154" i="1"/>
  <c r="A1155" i="1"/>
  <c r="B1155" i="1"/>
  <c r="A1156" i="1"/>
  <c r="B1156" i="1"/>
  <c r="A1157" i="1"/>
  <c r="B1157" i="1"/>
  <c r="A1158" i="1"/>
  <c r="B1158" i="1"/>
  <c r="A1159" i="1"/>
  <c r="B1159" i="1"/>
  <c r="A1160" i="1"/>
  <c r="B1160" i="1"/>
  <c r="A1161" i="1"/>
  <c r="B1161" i="1"/>
  <c r="A1162" i="1"/>
  <c r="B1162" i="1"/>
  <c r="A1163" i="1"/>
  <c r="B1163" i="1"/>
  <c r="A1164" i="1"/>
  <c r="B1164" i="1"/>
  <c r="A1165" i="1"/>
  <c r="B1165" i="1"/>
  <c r="A1166" i="1"/>
  <c r="B1166" i="1"/>
  <c r="A1167" i="1"/>
  <c r="B1167" i="1"/>
  <c r="A1168" i="1"/>
  <c r="B1168" i="1"/>
  <c r="A1169" i="1"/>
  <c r="B1169" i="1"/>
  <c r="A1170" i="1"/>
  <c r="B1170" i="1"/>
  <c r="A1171" i="1"/>
  <c r="B1171" i="1"/>
  <c r="A1172" i="1"/>
  <c r="B1172" i="1"/>
  <c r="A1173" i="1"/>
  <c r="B1173" i="1"/>
  <c r="A1174" i="1"/>
  <c r="B1174" i="1"/>
  <c r="A1175" i="1"/>
  <c r="B1175" i="1"/>
  <c r="A1176" i="1"/>
  <c r="B1176" i="1"/>
  <c r="A1177" i="1"/>
  <c r="B1177" i="1"/>
  <c r="A1178" i="1"/>
  <c r="B1178" i="1"/>
  <c r="A1179" i="1"/>
  <c r="B1179" i="1"/>
  <c r="A1180" i="1"/>
  <c r="B1180" i="1"/>
  <c r="A1181" i="1"/>
  <c r="B1181" i="1"/>
  <c r="A1182" i="1"/>
  <c r="B1182" i="1"/>
  <c r="A1183" i="1"/>
  <c r="B1183" i="1"/>
  <c r="A1184" i="1"/>
  <c r="B1184" i="1"/>
  <c r="A1185" i="1"/>
  <c r="B1185" i="1"/>
  <c r="A1186" i="1"/>
  <c r="B1186" i="1"/>
  <c r="A1187" i="1"/>
  <c r="B1187" i="1"/>
  <c r="A1188" i="1"/>
  <c r="B1188" i="1"/>
  <c r="A1189" i="1"/>
  <c r="B1189" i="1"/>
  <c r="A1190" i="1"/>
  <c r="B1190" i="1"/>
  <c r="A1191" i="1"/>
  <c r="B1191" i="1"/>
  <c r="A1192" i="1"/>
  <c r="B1192" i="1"/>
  <c r="A1193" i="1"/>
  <c r="B1193" i="1"/>
  <c r="A1194" i="1"/>
  <c r="B1194" i="1"/>
  <c r="A1195" i="1"/>
  <c r="B1195" i="1"/>
  <c r="A1196" i="1"/>
  <c r="B1196" i="1"/>
  <c r="A1197" i="1"/>
  <c r="B1197" i="1"/>
  <c r="A1198" i="1"/>
  <c r="B1198" i="1"/>
  <c r="A1199" i="1"/>
  <c r="B1199" i="1"/>
  <c r="A1200" i="1"/>
  <c r="B1200" i="1"/>
  <c r="A1201" i="1"/>
  <c r="B1201" i="1"/>
  <c r="A1202" i="1"/>
  <c r="B1202" i="1"/>
  <c r="A1203" i="1"/>
  <c r="B1203" i="1"/>
  <c r="A1204" i="1"/>
  <c r="B1204" i="1"/>
  <c r="A1205" i="1"/>
  <c r="B1205" i="1"/>
  <c r="A1206" i="1"/>
  <c r="B1206" i="1"/>
  <c r="A1207" i="1"/>
  <c r="B1207" i="1"/>
  <c r="A1208" i="1"/>
  <c r="B1208" i="1"/>
  <c r="A1209" i="1"/>
  <c r="B1209" i="1"/>
  <c r="A1210" i="1"/>
  <c r="B1210" i="1"/>
  <c r="A1211" i="1"/>
  <c r="B1211" i="1"/>
  <c r="A1212" i="1"/>
  <c r="B1212" i="1"/>
  <c r="A1213" i="1"/>
  <c r="B1213" i="1"/>
  <c r="A1214" i="1"/>
  <c r="B1214" i="1"/>
  <c r="A1215" i="1"/>
  <c r="B1215" i="1"/>
  <c r="A1216" i="1"/>
  <c r="B1216" i="1"/>
  <c r="A1217" i="1"/>
  <c r="B1217" i="1"/>
  <c r="A1218" i="1"/>
  <c r="B1218" i="1"/>
  <c r="A1219" i="1"/>
  <c r="B1219" i="1"/>
  <c r="A1220" i="1"/>
  <c r="B1220" i="1"/>
  <c r="A1221" i="1"/>
  <c r="B1221" i="1"/>
  <c r="A1222" i="1"/>
  <c r="B1222" i="1"/>
  <c r="A1223" i="1"/>
  <c r="B1223" i="1"/>
  <c r="A1224" i="1"/>
  <c r="B1224" i="1"/>
  <c r="A1225" i="1"/>
  <c r="B1225" i="1"/>
  <c r="A1226" i="1"/>
  <c r="B1226" i="1"/>
  <c r="A1227" i="1"/>
  <c r="B1227" i="1"/>
  <c r="A1228" i="1"/>
  <c r="B1228" i="1"/>
  <c r="A1229" i="1"/>
  <c r="B1229" i="1"/>
  <c r="A1230" i="1"/>
  <c r="B1230" i="1"/>
  <c r="A1231" i="1"/>
  <c r="B1231" i="1"/>
  <c r="A1232" i="1"/>
  <c r="B1232" i="1"/>
  <c r="A1233" i="1"/>
  <c r="B1233" i="1"/>
  <c r="A1234" i="1"/>
  <c r="B1234" i="1"/>
  <c r="A1235" i="1"/>
  <c r="B1235" i="1"/>
  <c r="A1236" i="1"/>
  <c r="B1236" i="1"/>
  <c r="A1237" i="1"/>
  <c r="B1237" i="1"/>
  <c r="A1238" i="1"/>
  <c r="B1238" i="1"/>
  <c r="A1239" i="1"/>
  <c r="B1239" i="1"/>
  <c r="A1240" i="1"/>
  <c r="B1240" i="1"/>
  <c r="A1241" i="1"/>
  <c r="B1241" i="1"/>
  <c r="A1242" i="1"/>
  <c r="B1242" i="1"/>
  <c r="A1243" i="1"/>
  <c r="B1243" i="1"/>
  <c r="A1244" i="1"/>
  <c r="B1244" i="1"/>
  <c r="A1245" i="1"/>
  <c r="B1245" i="1"/>
  <c r="A1246" i="1"/>
  <c r="B1246" i="1"/>
  <c r="A1247" i="1"/>
  <c r="B1247" i="1"/>
  <c r="A1248" i="1"/>
  <c r="B1248" i="1"/>
  <c r="A1249" i="1"/>
  <c r="B1249" i="1"/>
  <c r="A1250" i="1"/>
  <c r="B1250" i="1"/>
  <c r="A1251" i="1"/>
  <c r="B1251" i="1"/>
  <c r="A1252" i="1"/>
  <c r="B1252" i="1"/>
  <c r="A1253" i="1"/>
  <c r="B1253" i="1"/>
  <c r="A1254" i="1"/>
  <c r="B1254" i="1"/>
  <c r="A1255" i="1"/>
  <c r="B1255" i="1"/>
  <c r="A1256" i="1"/>
  <c r="B1256" i="1"/>
  <c r="A1257" i="1"/>
  <c r="B1257" i="1"/>
  <c r="A1258" i="1"/>
  <c r="B1258" i="1"/>
  <c r="A1259" i="1"/>
  <c r="B1259" i="1"/>
  <c r="A1260" i="1"/>
  <c r="B1260" i="1"/>
  <c r="A1261" i="1"/>
  <c r="B1261" i="1"/>
  <c r="A1262" i="1"/>
  <c r="B1262" i="1"/>
  <c r="A1263" i="1"/>
  <c r="B1263" i="1"/>
  <c r="A1264" i="1"/>
  <c r="B1264" i="1"/>
  <c r="A1265" i="1"/>
  <c r="B1265" i="1"/>
  <c r="A1266" i="1"/>
  <c r="B1266" i="1"/>
  <c r="A1267" i="1"/>
  <c r="B1267" i="1"/>
  <c r="A1268" i="1"/>
  <c r="B1268" i="1"/>
  <c r="A1269" i="1"/>
  <c r="B1269" i="1"/>
  <c r="A1270" i="1"/>
  <c r="B1270" i="1"/>
  <c r="A1271" i="1"/>
  <c r="B1271" i="1"/>
  <c r="A1272" i="1"/>
  <c r="B1272" i="1"/>
  <c r="A1273" i="1"/>
  <c r="B1273" i="1"/>
  <c r="A1274" i="1"/>
  <c r="B1274" i="1"/>
  <c r="A1275" i="1"/>
  <c r="B1275" i="1"/>
  <c r="A1276" i="1"/>
  <c r="B1276" i="1"/>
  <c r="A1277" i="1"/>
  <c r="B1277" i="1"/>
  <c r="A1278" i="1"/>
  <c r="B1278" i="1"/>
  <c r="A1279" i="1"/>
  <c r="B1279" i="1"/>
  <c r="A1280" i="1"/>
  <c r="B1280" i="1"/>
  <c r="A1281" i="1"/>
  <c r="B1281" i="1"/>
  <c r="A1282" i="1"/>
  <c r="B1282" i="1"/>
  <c r="A1283" i="1"/>
  <c r="B1283" i="1"/>
  <c r="A1284" i="1"/>
  <c r="B1284" i="1"/>
  <c r="A1285" i="1"/>
  <c r="A1286" i="1"/>
  <c r="B1286" i="1"/>
  <c r="A1287" i="1"/>
  <c r="B1287" i="1"/>
  <c r="A1288" i="1"/>
  <c r="B1288" i="1"/>
  <c r="A1289" i="1"/>
  <c r="B1289" i="1"/>
  <c r="A1290" i="1"/>
  <c r="B1290" i="1"/>
  <c r="A1291" i="1"/>
  <c r="B1291" i="1"/>
  <c r="A1292" i="1"/>
  <c r="B1292" i="1"/>
  <c r="A1293" i="1"/>
  <c r="B1293" i="1"/>
  <c r="A1294" i="1"/>
  <c r="B1294" i="1"/>
  <c r="A1295" i="1"/>
  <c r="B1295" i="1"/>
  <c r="A1296" i="1"/>
  <c r="B1296" i="1"/>
  <c r="A1297" i="1"/>
  <c r="B1297" i="1"/>
  <c r="A1298" i="1"/>
  <c r="A1299" i="1"/>
  <c r="B1299" i="1"/>
  <c r="A1300" i="1"/>
  <c r="B1300" i="1"/>
  <c r="A1301" i="1"/>
  <c r="A1302" i="1"/>
  <c r="B1302" i="1"/>
  <c r="A1303" i="1"/>
  <c r="B1303" i="1"/>
  <c r="A1304" i="1"/>
  <c r="B1304" i="1"/>
  <c r="A1305" i="1"/>
  <c r="B1305" i="1"/>
  <c r="A1306" i="1"/>
  <c r="B1306" i="1"/>
  <c r="A1307" i="1"/>
  <c r="B1307" i="1"/>
  <c r="A1308" i="1"/>
  <c r="B1308" i="1"/>
  <c r="A1309" i="1"/>
  <c r="B1309" i="1"/>
  <c r="A1310" i="1"/>
  <c r="B1310" i="1"/>
  <c r="A1311" i="1"/>
  <c r="B1311" i="1"/>
  <c r="A1312" i="1"/>
  <c r="B1312" i="1"/>
  <c r="A1313" i="1"/>
  <c r="B1313" i="1"/>
  <c r="A1314" i="1"/>
  <c r="B1314" i="1"/>
  <c r="A1315" i="1"/>
  <c r="B1315" i="1"/>
  <c r="A1316" i="1"/>
  <c r="B1316" i="1"/>
  <c r="A1317" i="1"/>
  <c r="B1317" i="1"/>
  <c r="A1318" i="1"/>
  <c r="B1318" i="1"/>
  <c r="A1319" i="1"/>
  <c r="B1319" i="1"/>
  <c r="A1320" i="1"/>
  <c r="B1320" i="1"/>
  <c r="A1321" i="1"/>
  <c r="B1321" i="1"/>
  <c r="A1322" i="1"/>
  <c r="B1322" i="1"/>
  <c r="A1323" i="1"/>
  <c r="B1323" i="1"/>
  <c r="A1324" i="1"/>
  <c r="B1324" i="1"/>
  <c r="A1325" i="1"/>
  <c r="B1325" i="1"/>
  <c r="A1326" i="1"/>
  <c r="B1326" i="1"/>
  <c r="A1327" i="1"/>
  <c r="B1327" i="1"/>
  <c r="A1328" i="1"/>
  <c r="B1328" i="1"/>
  <c r="A1329" i="1"/>
  <c r="B1329" i="1"/>
  <c r="A1330" i="1"/>
  <c r="B1330" i="1"/>
  <c r="A1331" i="1"/>
  <c r="B1331" i="1"/>
  <c r="A1332" i="1"/>
  <c r="B1332" i="1"/>
  <c r="A1333" i="1"/>
  <c r="B1333" i="1"/>
  <c r="A1334" i="1"/>
  <c r="B1334" i="1"/>
  <c r="A1335" i="1"/>
  <c r="B1335" i="1"/>
  <c r="A1336" i="1"/>
  <c r="B1336" i="1"/>
  <c r="A1337" i="1"/>
  <c r="B1337" i="1"/>
  <c r="A1338" i="1"/>
  <c r="B1338" i="1"/>
  <c r="A1339" i="1"/>
  <c r="B1339" i="1"/>
  <c r="A1340" i="1"/>
  <c r="B1340" i="1"/>
  <c r="A1341" i="1"/>
  <c r="B1341" i="1"/>
  <c r="A1342" i="1"/>
  <c r="B1342" i="1"/>
  <c r="A1343" i="1"/>
  <c r="B1343" i="1"/>
  <c r="A1344" i="1"/>
  <c r="B1344" i="1"/>
  <c r="A1345" i="1"/>
  <c r="B1345" i="1"/>
  <c r="A1346" i="1"/>
  <c r="B1346" i="1"/>
  <c r="A1347" i="1"/>
  <c r="B1347" i="1"/>
  <c r="A1348" i="1"/>
  <c r="B1348" i="1"/>
  <c r="A1349" i="1"/>
  <c r="B1349" i="1"/>
  <c r="A1350" i="1"/>
  <c r="B1350" i="1"/>
  <c r="A1351" i="1"/>
  <c r="B1351" i="1"/>
  <c r="A1352" i="1"/>
  <c r="B1352" i="1"/>
  <c r="A1353" i="1"/>
  <c r="B1353" i="1"/>
  <c r="A1354" i="1"/>
  <c r="B1354" i="1"/>
  <c r="A1355" i="1"/>
  <c r="B1355" i="1"/>
  <c r="A1356" i="1"/>
  <c r="B1356" i="1"/>
  <c r="A1357" i="1"/>
  <c r="B1357" i="1"/>
  <c r="A1358" i="1"/>
  <c r="B1358" i="1"/>
  <c r="A1359" i="1"/>
  <c r="B1359" i="1"/>
  <c r="A1360" i="1"/>
  <c r="B1360" i="1"/>
  <c r="A1361" i="1"/>
  <c r="B1361" i="1"/>
  <c r="A1362" i="1"/>
  <c r="B1362" i="1"/>
  <c r="A1363" i="1"/>
  <c r="B1363" i="1"/>
  <c r="A1364" i="1"/>
  <c r="A1365" i="1"/>
  <c r="B1365" i="1"/>
  <c r="A1366" i="1"/>
  <c r="B1366" i="1"/>
  <c r="A1367" i="1"/>
  <c r="A1368" i="1"/>
  <c r="B1368" i="1"/>
  <c r="A1369" i="1"/>
  <c r="B1369" i="1"/>
  <c r="A1370" i="1"/>
  <c r="B1370" i="1"/>
  <c r="A1371" i="1"/>
  <c r="B1371" i="1"/>
  <c r="A1372" i="1"/>
  <c r="B1372" i="1"/>
  <c r="A1373" i="1"/>
  <c r="B1373" i="1"/>
  <c r="A1374" i="1"/>
  <c r="B1374" i="1"/>
  <c r="A1375" i="1"/>
  <c r="B1375" i="1"/>
  <c r="A1376" i="1"/>
  <c r="B1376" i="1"/>
  <c r="A1377" i="1"/>
  <c r="B1377" i="1"/>
  <c r="A1378" i="1"/>
  <c r="B1378" i="1"/>
  <c r="A1379" i="1"/>
  <c r="B1379" i="1"/>
  <c r="A1380" i="1"/>
  <c r="B1380" i="1"/>
  <c r="A1381" i="1"/>
  <c r="B1381" i="1"/>
  <c r="A1382" i="1"/>
  <c r="B1382" i="1"/>
  <c r="A1383" i="1"/>
  <c r="B1383" i="1"/>
  <c r="A1384" i="1"/>
  <c r="B1384" i="1"/>
  <c r="A1385" i="1"/>
  <c r="A1386" i="1"/>
  <c r="B1386" i="1"/>
  <c r="A1387" i="1"/>
  <c r="B1387" i="1"/>
  <c r="A1388" i="1"/>
  <c r="B1388" i="1"/>
  <c r="A1389" i="1"/>
  <c r="B1389" i="1"/>
  <c r="A1390" i="1"/>
  <c r="B1390" i="1"/>
  <c r="A1391" i="1"/>
  <c r="B1391" i="1"/>
  <c r="A1392" i="1"/>
  <c r="B1392" i="1"/>
  <c r="A1393" i="1"/>
  <c r="B1393" i="1"/>
  <c r="A1394" i="1"/>
  <c r="B1394" i="1"/>
  <c r="A1395" i="1"/>
  <c r="B1395" i="1"/>
  <c r="A1396" i="1"/>
  <c r="B1396" i="1"/>
  <c r="A1397" i="1"/>
  <c r="B1397" i="1"/>
  <c r="A1398" i="1"/>
  <c r="B1398" i="1"/>
  <c r="A1399" i="1"/>
  <c r="B1399" i="1"/>
  <c r="A1400" i="1"/>
  <c r="B1400" i="1"/>
  <c r="A1401" i="1"/>
  <c r="B1401" i="1"/>
  <c r="A1402" i="1"/>
  <c r="B1402" i="1"/>
  <c r="A1403" i="1"/>
  <c r="B1403" i="1"/>
  <c r="A1404" i="1"/>
  <c r="B1404" i="1"/>
  <c r="A1405" i="1"/>
  <c r="A1406" i="1"/>
  <c r="B1406" i="1"/>
  <c r="A1407" i="1"/>
  <c r="B1407" i="1"/>
  <c r="A1408" i="1"/>
  <c r="B1408" i="1"/>
  <c r="A1409" i="1"/>
  <c r="B1409" i="1"/>
  <c r="A1410" i="1"/>
  <c r="A1411" i="1"/>
  <c r="B1411" i="1"/>
  <c r="A1412" i="1"/>
  <c r="B1412" i="1"/>
  <c r="A1413" i="1"/>
  <c r="A1414" i="1"/>
  <c r="B1414" i="1"/>
  <c r="A1415" i="1"/>
  <c r="B1415" i="1"/>
  <c r="A1416" i="1"/>
  <c r="B1416" i="1"/>
  <c r="A1417" i="1"/>
  <c r="B1417" i="1"/>
  <c r="A1418" i="1"/>
  <c r="B1418" i="1"/>
  <c r="A1419" i="1"/>
  <c r="B1419" i="1"/>
  <c r="A1420" i="1"/>
  <c r="B1420" i="1"/>
  <c r="A1421" i="1"/>
  <c r="B1421" i="1"/>
  <c r="A1422" i="1"/>
  <c r="A1423" i="1"/>
  <c r="B1423" i="1"/>
  <c r="A1424" i="1"/>
  <c r="B1424" i="1"/>
  <c r="A1425" i="1"/>
  <c r="B1425" i="1"/>
  <c r="A1426" i="1"/>
  <c r="B1426" i="1"/>
  <c r="A1427" i="1"/>
  <c r="B1427" i="1"/>
  <c r="A1428" i="1"/>
  <c r="B1428" i="1"/>
  <c r="A1429" i="1"/>
  <c r="B1429" i="1"/>
  <c r="A1430" i="1"/>
  <c r="B1430" i="1"/>
  <c r="A1431" i="1"/>
  <c r="A1432" i="1"/>
  <c r="B1432" i="1"/>
  <c r="A1433" i="1"/>
  <c r="B1433" i="1"/>
  <c r="A1434" i="1"/>
  <c r="B1434" i="1"/>
  <c r="A1435" i="1"/>
  <c r="B1435" i="1"/>
  <c r="A1436" i="1"/>
  <c r="B1436" i="1"/>
  <c r="A1437" i="1"/>
  <c r="B1437" i="1"/>
  <c r="A1438" i="1"/>
  <c r="A1439" i="1"/>
  <c r="B1439" i="1"/>
  <c r="A1440" i="1"/>
  <c r="B1440" i="1"/>
  <c r="A1441" i="1"/>
  <c r="B1441" i="1"/>
  <c r="A1442" i="1"/>
  <c r="A1443" i="1"/>
  <c r="B1443" i="1"/>
  <c r="A1444" i="1"/>
  <c r="B1444" i="1"/>
  <c r="A1445" i="1"/>
  <c r="B1445" i="1"/>
  <c r="A1446" i="1"/>
  <c r="B1446" i="1"/>
  <c r="A1447" i="1"/>
  <c r="B1447" i="1"/>
  <c r="A1448" i="1"/>
  <c r="B1448" i="1"/>
  <c r="A1449" i="1"/>
  <c r="B1449" i="1"/>
  <c r="A1450" i="1"/>
  <c r="B1450" i="1"/>
  <c r="A1451" i="1"/>
  <c r="B1451" i="1"/>
  <c r="A1452" i="1"/>
  <c r="B1452" i="1"/>
  <c r="A1453" i="1"/>
  <c r="B1453" i="1"/>
  <c r="A1454" i="1"/>
  <c r="B1454" i="1"/>
  <c r="A1455" i="1"/>
  <c r="B1455" i="1"/>
  <c r="A1456" i="1"/>
  <c r="B1456" i="1"/>
  <c r="A1457" i="1"/>
  <c r="B1457" i="1"/>
  <c r="A1458" i="1"/>
  <c r="B1458" i="1"/>
  <c r="A1459" i="1"/>
  <c r="B1459" i="1"/>
  <c r="A1460" i="1"/>
  <c r="B1460" i="1"/>
  <c r="A1461" i="1"/>
  <c r="B1461" i="1"/>
  <c r="A1462" i="1"/>
  <c r="B1462" i="1"/>
  <c r="A1463" i="1"/>
  <c r="B1463" i="1"/>
  <c r="A1464" i="1"/>
  <c r="B1464" i="1"/>
  <c r="A1465" i="1"/>
  <c r="B1465" i="1"/>
  <c r="A1466" i="1"/>
  <c r="B1466" i="1"/>
  <c r="A1467" i="1"/>
  <c r="B1467" i="1"/>
  <c r="A1468" i="1"/>
  <c r="B1468" i="1"/>
  <c r="A1469" i="1"/>
  <c r="B1469" i="1"/>
  <c r="A1470" i="1"/>
  <c r="B1470" i="1"/>
  <c r="A1471" i="1"/>
  <c r="B1471" i="1"/>
  <c r="A1472" i="1"/>
  <c r="B1472" i="1"/>
  <c r="A1473" i="1"/>
  <c r="B1473" i="1"/>
  <c r="A1474" i="1"/>
  <c r="B1474" i="1"/>
  <c r="A1475" i="1"/>
  <c r="B1475" i="1"/>
  <c r="A1476" i="1"/>
  <c r="B1476" i="1"/>
  <c r="A1477" i="1"/>
  <c r="B1477" i="1"/>
  <c r="A1478" i="1"/>
  <c r="B1478" i="1"/>
  <c r="A1479" i="1"/>
  <c r="B1479" i="1"/>
  <c r="A1480" i="1"/>
  <c r="B1480" i="1"/>
  <c r="A1481" i="1"/>
  <c r="B1481" i="1"/>
  <c r="A1482" i="1"/>
  <c r="B1482" i="1"/>
  <c r="A1483" i="1"/>
  <c r="B1483" i="1"/>
  <c r="A1484" i="1"/>
  <c r="B1484" i="1"/>
  <c r="A1485" i="1"/>
  <c r="B1485" i="1"/>
  <c r="A1486" i="1"/>
  <c r="B1486" i="1"/>
  <c r="A1487" i="1"/>
  <c r="B1487" i="1"/>
  <c r="A1488" i="1"/>
  <c r="B1488" i="1"/>
  <c r="A1489" i="1"/>
  <c r="B1489" i="1"/>
  <c r="A1490" i="1"/>
  <c r="B1490" i="1"/>
  <c r="A1491" i="1"/>
  <c r="B1491" i="1"/>
  <c r="A1492" i="1"/>
  <c r="B1492" i="1"/>
  <c r="A1493" i="1"/>
  <c r="B1493" i="1"/>
  <c r="A1494" i="1"/>
  <c r="B1494" i="1"/>
  <c r="A1495" i="1"/>
  <c r="B1495" i="1"/>
  <c r="A1496" i="1"/>
  <c r="B1496" i="1"/>
  <c r="A1497" i="1"/>
  <c r="B1497" i="1"/>
  <c r="A1498" i="1"/>
  <c r="B1498" i="1"/>
  <c r="A1499" i="1"/>
  <c r="B1499" i="1"/>
  <c r="A1500" i="1"/>
  <c r="B1500" i="1"/>
  <c r="A1501" i="1"/>
  <c r="B1501" i="1"/>
  <c r="A1502" i="1"/>
  <c r="B1502" i="1"/>
  <c r="A1503" i="1"/>
  <c r="B1503" i="1"/>
  <c r="A1504" i="1"/>
  <c r="B1504" i="1"/>
  <c r="A1505" i="1"/>
  <c r="B1505" i="1"/>
  <c r="A1506" i="1"/>
  <c r="B1506" i="1"/>
  <c r="A1507" i="1"/>
  <c r="B1507" i="1"/>
  <c r="A1508" i="1"/>
  <c r="B1508" i="1"/>
  <c r="A1509" i="1"/>
  <c r="B1509" i="1"/>
  <c r="A1510" i="1"/>
  <c r="B1510" i="1"/>
  <c r="A1511" i="1"/>
  <c r="B1511" i="1"/>
  <c r="A1512" i="1"/>
  <c r="B1512" i="1"/>
  <c r="A1513" i="1"/>
  <c r="B1513" i="1"/>
  <c r="A1514" i="1"/>
  <c r="B1514" i="1"/>
  <c r="A1515" i="1"/>
  <c r="B1515" i="1"/>
  <c r="A1516" i="1"/>
  <c r="B1516" i="1"/>
  <c r="A1517" i="1"/>
  <c r="B1517" i="1"/>
  <c r="A1518" i="1"/>
  <c r="B1518" i="1"/>
  <c r="A1519" i="1"/>
  <c r="B1519" i="1"/>
  <c r="A1520" i="1"/>
  <c r="B1520" i="1"/>
  <c r="A1521" i="1"/>
  <c r="B1521" i="1"/>
  <c r="A1522" i="1"/>
  <c r="B1522" i="1"/>
  <c r="A1523" i="1"/>
  <c r="B1523" i="1"/>
  <c r="A1524" i="1"/>
  <c r="B1524" i="1"/>
  <c r="A1525" i="1"/>
  <c r="B1525" i="1"/>
  <c r="A1526" i="1"/>
  <c r="B1526" i="1"/>
  <c r="A1527" i="1"/>
  <c r="B1527" i="1"/>
  <c r="A1528" i="1"/>
  <c r="B1528" i="1"/>
  <c r="A1529" i="1"/>
  <c r="B1529" i="1"/>
  <c r="A1530" i="1"/>
  <c r="B1530" i="1"/>
  <c r="A1531" i="1"/>
  <c r="B1531" i="1"/>
  <c r="A1532" i="1"/>
  <c r="B1532" i="1"/>
  <c r="A1533" i="1"/>
  <c r="B1533" i="1"/>
  <c r="A1534" i="1"/>
  <c r="B1534" i="1"/>
  <c r="A1535" i="1"/>
  <c r="B1535" i="1"/>
  <c r="A1536" i="1"/>
  <c r="B1536" i="1"/>
  <c r="A1537" i="1"/>
  <c r="B1537" i="1"/>
  <c r="A1538" i="1"/>
  <c r="B1538" i="1"/>
  <c r="A1539" i="1"/>
  <c r="B1539" i="1"/>
  <c r="A1540" i="1"/>
  <c r="B1540" i="1"/>
  <c r="A1541" i="1"/>
  <c r="B1541" i="1"/>
  <c r="A1542" i="1"/>
  <c r="B1542" i="1"/>
  <c r="A1543" i="1"/>
  <c r="B1543" i="1"/>
  <c r="A1544" i="1"/>
  <c r="B1544" i="1"/>
  <c r="A1545" i="1"/>
  <c r="B1545" i="1"/>
  <c r="A1546" i="1"/>
  <c r="B1546" i="1"/>
  <c r="A1547" i="1"/>
  <c r="B1547" i="1"/>
  <c r="A1548" i="1"/>
  <c r="B1548" i="1"/>
  <c r="A1549" i="1"/>
  <c r="B1549" i="1"/>
  <c r="A1550" i="1"/>
  <c r="B1550" i="1"/>
  <c r="A1551" i="1"/>
  <c r="B1551" i="1"/>
  <c r="A1552" i="1"/>
  <c r="B1552" i="1"/>
  <c r="A1553" i="1"/>
  <c r="B1553" i="1"/>
  <c r="A1554" i="1"/>
  <c r="B1554" i="1"/>
  <c r="A1555" i="1"/>
  <c r="B1555" i="1"/>
  <c r="A1556" i="1"/>
  <c r="B1556" i="1"/>
  <c r="A1557" i="1"/>
  <c r="B1557" i="1"/>
  <c r="A1558" i="1"/>
  <c r="B1558" i="1"/>
  <c r="A1559" i="1"/>
  <c r="B1559" i="1"/>
  <c r="A1560" i="1"/>
  <c r="B1560" i="1"/>
  <c r="A1561" i="1"/>
  <c r="B1561" i="1"/>
  <c r="A1562" i="1"/>
  <c r="B1562" i="1"/>
  <c r="A1563" i="1"/>
  <c r="B1563" i="1"/>
  <c r="A1564" i="1"/>
  <c r="B1564" i="1"/>
  <c r="A1565" i="1"/>
  <c r="B1565" i="1"/>
  <c r="A1566" i="1"/>
  <c r="B1566" i="1"/>
  <c r="A1567" i="1"/>
  <c r="B1567" i="1"/>
  <c r="A1568" i="1"/>
  <c r="B1568" i="1"/>
  <c r="A1569" i="1"/>
  <c r="B1569" i="1"/>
  <c r="A1570" i="1"/>
  <c r="B1570" i="1"/>
  <c r="A1571" i="1"/>
  <c r="B1571" i="1"/>
  <c r="A1572" i="1"/>
  <c r="B1572" i="1"/>
  <c r="A1573" i="1"/>
  <c r="B1573" i="1"/>
  <c r="A1574" i="1"/>
  <c r="B1574" i="1"/>
  <c r="A1575" i="1"/>
  <c r="B1575" i="1"/>
  <c r="A1576" i="1"/>
  <c r="B1576" i="1"/>
  <c r="A1577" i="1"/>
  <c r="B1577" i="1"/>
  <c r="A1578" i="1"/>
  <c r="B1578" i="1"/>
  <c r="A1579" i="1"/>
  <c r="B1579" i="1"/>
  <c r="A1580" i="1"/>
  <c r="B1580" i="1"/>
  <c r="A1581" i="1"/>
  <c r="B1581" i="1"/>
  <c r="A1582" i="1"/>
  <c r="B1582" i="1"/>
  <c r="A1583" i="1"/>
  <c r="B1583" i="1"/>
  <c r="A1584" i="1"/>
  <c r="B1584" i="1"/>
  <c r="A1585" i="1"/>
  <c r="B1585" i="1"/>
  <c r="A1586" i="1"/>
  <c r="B1586" i="1"/>
  <c r="A1587" i="1"/>
  <c r="B1587" i="1"/>
  <c r="A1588" i="1"/>
  <c r="B1588" i="1"/>
  <c r="A1589" i="1"/>
  <c r="B1589" i="1"/>
  <c r="A1590" i="1"/>
  <c r="B1590" i="1"/>
  <c r="A1591" i="1"/>
  <c r="B1591" i="1"/>
  <c r="A1592" i="1"/>
  <c r="B1592" i="1"/>
  <c r="A1593" i="1"/>
  <c r="B1593" i="1"/>
  <c r="A1594" i="1"/>
  <c r="B1594" i="1"/>
  <c r="A1595" i="1"/>
  <c r="B1595" i="1"/>
  <c r="A1596" i="1"/>
  <c r="B1596" i="1"/>
  <c r="A1597" i="1"/>
  <c r="B1597" i="1"/>
  <c r="A1598" i="1"/>
  <c r="B1598" i="1"/>
  <c r="A1599" i="1"/>
  <c r="B1599" i="1"/>
  <c r="A1600" i="1"/>
  <c r="B1600" i="1"/>
  <c r="A1601" i="1"/>
  <c r="B1601" i="1"/>
  <c r="A1602" i="1"/>
  <c r="B1602" i="1"/>
  <c r="A1603" i="1"/>
  <c r="B1603" i="1"/>
  <c r="A1604" i="1"/>
  <c r="B1604" i="1"/>
  <c r="A1605" i="1"/>
  <c r="B1605" i="1"/>
  <c r="A1606" i="1"/>
  <c r="B1606" i="1"/>
  <c r="A1607" i="1"/>
  <c r="B1607" i="1"/>
  <c r="A1608" i="1"/>
  <c r="B1608" i="1"/>
  <c r="A1609" i="1"/>
  <c r="B1609" i="1"/>
  <c r="A1610" i="1"/>
  <c r="B1610" i="1"/>
  <c r="A1611" i="1"/>
  <c r="B1611" i="1"/>
  <c r="A1612" i="1"/>
  <c r="B1612" i="1"/>
  <c r="A1613" i="1"/>
  <c r="B1613" i="1"/>
  <c r="A1614" i="1"/>
  <c r="B1614" i="1"/>
  <c r="A1615" i="1"/>
  <c r="B1615" i="1"/>
  <c r="A1616" i="1"/>
  <c r="B1616" i="1"/>
  <c r="A1617" i="1"/>
  <c r="B1617" i="1"/>
  <c r="A1618" i="1"/>
  <c r="B1618" i="1"/>
  <c r="A1619" i="1"/>
  <c r="B1619" i="1"/>
  <c r="A1620" i="1"/>
  <c r="B1620" i="1"/>
  <c r="A1621" i="1"/>
  <c r="B1621" i="1"/>
  <c r="A1622" i="1"/>
  <c r="B1622" i="1"/>
  <c r="A1623" i="1"/>
  <c r="B1623" i="1"/>
</calcChain>
</file>

<file path=xl/sharedStrings.xml><?xml version="1.0" encoding="utf-8"?>
<sst xmlns="http://schemas.openxmlformats.org/spreadsheetml/2006/main" count="33" uniqueCount="33">
  <si>
    <t>Produced:</t>
  </si>
  <si>
    <t>Mois(C):</t>
  </si>
  <si>
    <t>Annee(C):</t>
  </si>
  <si>
    <t>BUREAU(C):</t>
  </si>
  <si>
    <t>SYSCOM(C):</t>
  </si>
  <si>
    <t>FLUX(C):</t>
  </si>
  <si>
    <t>PROVDEST(C):</t>
  </si>
  <si>
    <t>PRODUIT(B):</t>
  </si>
  <si>
    <t>Y Axis (1)</t>
  </si>
  <si>
    <t>PARTENAIRE(B):</t>
  </si>
  <si>
    <t>Y Axis (2)</t>
  </si>
  <si>
    <t>INDICATORS(B):</t>
  </si>
  <si>
    <t>X Axis (1)</t>
  </si>
  <si>
    <t xml:space="preserve">=t("BOIS, Y.C. LES LAMES ET FRISES POUR PARQUETS, NON-ASSEMBLÉES, PROFILÉS "LANGUETÉS, RAINÉS, BOUVETÉS, FEUILLURÉS, CHANFREINÉS, JOINTS EN V, MOULURÉS, ARRONDIS OU SIMIL." TOUT AU LONG D'UNE OU DE PLUSIEURS RIVES, FACES OU BOUTS, MÊME RABOTÉS, PONCÉS OU </t>
  </si>
  <si>
    <t>=t("MOTEURS À PISTON ALTERNATIF À ALLUMAGE PAR ÉTINCELLES "MOTEURS À EXPLOSION", DES TYPES UTILISÉS POUR LA PROPULSION DES VÉHICULES DU CHAPITRE 87, CYLINDRÉE &gt; 1000 CM³"")</t>
  </si>
  <si>
    <t>=t("MOTEURS À PISTON, À ALLUMAGE PAR COMPRESSION "MOTEURS DIESEL OU SEMI-DIESEL", DES TYPES UTILISÉS POUR LA PROPULSION DES VÉHICULES DU CHAPITRE 87"")</t>
  </si>
  <si>
    <t>=t("MOTEURS À PISTON, À ALLUMAGE PAR COMPRESSION "MOTEURS DIESEL OU SEMI-DIESEL" (AUTRES QUE MOTEURS DE PROPULSION POUR BATEAUX ET SAUF MOTEURS DES TYPES UTILISÉS POUR LA PROPULSION DES VÉHICULES DU CHAPITRE 87)")</t>
  </si>
  <si>
    <t>=t("MACHINES ET APPAREILS POUR LE CONDITIONNEMENT DE L'AIR, FORMANT UN SEUL CORPS OU DU TYPE "SPLIT-SYSTEM" [SYSTÈMES À ÉLÉMENTS SÉPARÉS], DU TYPE MURAL OU POUR FENÊTRES"")</t>
  </si>
  <si>
    <t>=t("Groupes électrogènes à moteur à piston à allumage par compression "moteurs diesel ou semi-diesel", puissance &lt;= 75 kVA")</t>
  </si>
  <si>
    <t>=t("GROUPES ÉLECTROGÈNES À MOTEUR À PISTON À ALLUMAGE PAR COMPRESSION "MOTEUR DIESEL OU SEMI-DIESEL", PUISSANCE &gt; 375 KVA")</t>
  </si>
  <si>
    <t>=t("GROUPES ÉLECTROGÈNES À MOTEUR À PISTON À ALLUMAGE PAR ÉTINCELLES "MOTEUR À EXPLOSION"")</t>
  </si>
  <si>
    <t>=t("VÉHICULES POUR LE TRANSPORT DE &gt;= 10 PERSONNES, CHAUFFEUR INCLUS, AUTRES QU'À MOTEUR À PISTON À ALLUMAGE PAR COMPRESSION "MOTEUR DIESEL OU SEMI-DIESEL"")</t>
  </si>
  <si>
    <t xml:space="preserve">=t("VOITURES DE TOURISME ET AUTRES VÉHICULES PRINCIPALEMENT CONÇUS POUR LE TRANSPORT DE PERSONNES, Y.C. LES VOITURES DU TYPE 'BREAK' ET LES VOITURES DE COURSE, À MOTEUR À PISTON ALTERNATIF À ALLUMAGE PAR ÉTINCELLES "MOTEUR À EXPLOSION", CYLINDRÉE &gt; 1.000 </t>
  </si>
  <si>
    <t xml:space="preserve">=t("VOITURES DE TOURISME ET AUTRES VÉHICULES PRINCIPALEMENT CONÇUS POUR LE TRANSPORT DE PERSONNES, Y.C. LES VOITURES DU TYPE 'BREAK' ET LES VOITURES DE COURSE, À MOTEUR À PISTON ALTERNATIF À ALLUMAGE PAR ÉTINCELLES "MOTEUR À EXPLOSION", CYLINDRÉE &gt; 1.500 </t>
  </si>
  <si>
    <t xml:space="preserve">=t("VOITURES DE TOURISME ET AUTRES VÉHICULES PRINCIPALEMENT CONÇUS POUR LE TRANSPORT DE PERSONNES, Y.C. LES VOITURES DU TYPE 'BREAK' ET LES VOITURES DE COURSE, À MOTEUR À PISTON ALTERNATIF À ALLUMAGE PAR ÉTINCELLES "MOTEUR À EXPLOSION", CYLINDRÉE &gt; 3.000 </t>
  </si>
  <si>
    <t xml:space="preserve">=t("VOITURES DE TOURISME ET AUTRES VÉHICULES PRINCIPALEMENT CONÇUS POUR LE TRANSPORT DE PERSONNES, Y.C. LES VOITURES DU TYPE 'BREAK' ET LES VOITURES DE COURSE, À MOTEUR À PISTON À ALLUMAGE PAR COMPRESSION "MOTEUR DIESEL OU SEMI-DIESEL", CYLINDRÉE &gt; 1.500 </t>
  </si>
  <si>
    <t>=t("VOITURES DE TOURISME ET AUTRES VÉHICULES PRINCIPALEMENT CONÇUS POUR LE TRANSPORT DE PERSONNES, Y.C. LES VOITURES DU TYPE 'BREAK' ET LES VOITURES DE COURSE, À MOTEUR À PISTON À ALLUMAGE PAR COMPRESSION "MOTEUR DIESEL OU SEMI-DIESEL", CYLINDRÉE &gt; 2500 C</t>
  </si>
  <si>
    <t>=t("VÉHICULES POUR LE TRANSPORT DE MARCHANDISES, À MOTEUR À PISTON À ALLUMAGE PAR COMPRESSION "MOTEUR DIESEL OU SEMI-DIESEL", POIDS EN CHARGE MAXIMAL &lt;= 5 T (SAUF TOMBEREAUX AUTOMOTEURS DU N° 8704 ET VÉHICULES AUTOMOBILES À USAGES SPÉCIAUX DU N° 8705)")</t>
  </si>
  <si>
    <t>=t("VÉHICULES POUR LE TRANSPORT DE MARCHANDISES, À MOTEUR À PISTON À ALLUMAGE PAR COMPRESSION "MOTEUR DIESEL OU SEMI-DIESEL", POIDS EN CHARGE MAXIMAL &gt; 5 T MAIS &lt;= 20 T (SAUF TOMBEREAUX AUTOMOTEURS DU N° 8704.10, VÉHICULES AUTOMOBILES À USAGES SPÉCIAUX DU</t>
  </si>
  <si>
    <t>=t("VÉHICULES POUR LE TRANSPORT DE MARCHANDISES, À MOTEUR À PISTON À ALLUMAGE PAR COMPRESSION "MOTEUR DIESEL OU SEMI-DIESEL", POIDS EN CHARGE MAXIMAL &gt; 20 T (SAUF TOMBEREAUX AUTOMOTEURS DU N° 8704.10, VÉHICULES AUTOMOBILES À USAGES SPÉCIAUX DU N° 8705)")</t>
  </si>
  <si>
    <t>=t("VÉHICULES POUR LE TRANSPORT DE MARCHANDISES, À MOTEUR À PISTON À ALLUMAGE PAR ÉTINCELLES "MOTEUR À EXPLOSION", POIDS EN CHARGE MAXIMAL &lt;= 5 T (SAUF TOMBEREAUX AUTOMOTEURS DU N° 8704.10, VÉHICULES AUTOMOBILES À USAGES SPÉCIAUX DU N° 8705)")</t>
  </si>
  <si>
    <t>Source: Copyright © 1958 - 2003 European Community, Eurostat. All Rights Reserved. Comext: k0000032.txt  Extracted: 07/10/2014</t>
  </si>
  <si>
    <t>Table generation of Extraction from Plan "k0000029,mtx"</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</si>
</sst>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
    <xf numFmtId="0" fontId="0" fillId="0" borderId="0" xfId="0"/>
    <xf numFmtId="0" fontId="16" fillId="0" borderId="0" xfId="0" applyFont="1"/>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26"/>
  <sheetViews>
    <sheetView tabSelected="1" topLeftCell="A10" workbookViewId="0">
      <selection activeCell="C10" sqref="C1:D1048576"/>
    </sheetView>
  </sheetViews>
  <sheetFormatPr baseColWidth="10" defaultRowHeight="15" x14ac:dyDescent="0.25"/>
  <sheetData>
    <row r="1" spans="1:4" x14ac:dyDescent="0.25">
      <c r="C1" t="s">
        <v>32</v>
      </c>
    </row>
    <row r="3" spans="1:4" x14ac:dyDescent="0.25">
      <c r="A3" t="s">
        <v>0</v>
      </c>
      <c r="B3" t="str">
        <f>T("07/10/2014")</f>
        <v>07/10/2014</v>
      </c>
    </row>
    <row r="4" spans="1:4" x14ac:dyDescent="0.25">
      <c r="A4" t="s">
        <v>1</v>
      </c>
      <c r="B4" t="str">
        <f>T("00")</f>
        <v>00</v>
      </c>
    </row>
    <row r="5" spans="1:4" x14ac:dyDescent="0.25">
      <c r="A5" t="s">
        <v>2</v>
      </c>
      <c r="B5" t="str">
        <f>T("2011")</f>
        <v>2011</v>
      </c>
    </row>
    <row r="6" spans="1:4" x14ac:dyDescent="0.25">
      <c r="A6" t="s">
        <v>3</v>
      </c>
      <c r="B6" t="str">
        <f>T("ZZ_7Bureaux")</f>
        <v>ZZ_7Bureaux</v>
      </c>
    </row>
    <row r="7" spans="1:4" x14ac:dyDescent="0.25">
      <c r="A7" t="s">
        <v>4</v>
      </c>
      <c r="B7" t="str">
        <f>T("CS")</f>
        <v>CS</v>
      </c>
    </row>
    <row r="8" spans="1:4" x14ac:dyDescent="0.25">
      <c r="A8" t="s">
        <v>5</v>
      </c>
      <c r="B8" t="str">
        <f>T("ET")</f>
        <v>ET</v>
      </c>
    </row>
    <row r="9" spans="1:4" x14ac:dyDescent="0.25">
      <c r="A9" t="s">
        <v>6</v>
      </c>
      <c r="B9" t="str">
        <f>T("ZZZ_Monde")</f>
        <v>ZZZ_Monde</v>
      </c>
    </row>
    <row r="10" spans="1:4" x14ac:dyDescent="0.25">
      <c r="A10" t="s">
        <v>7</v>
      </c>
      <c r="B10" t="s">
        <v>8</v>
      </c>
    </row>
    <row r="11" spans="1:4" x14ac:dyDescent="0.25">
      <c r="A11" t="s">
        <v>9</v>
      </c>
      <c r="B11" t="s">
        <v>10</v>
      </c>
    </row>
    <row r="12" spans="1:4" x14ac:dyDescent="0.25">
      <c r="A12" t="s">
        <v>11</v>
      </c>
      <c r="B12" t="s">
        <v>12</v>
      </c>
    </row>
    <row r="14" spans="1:4" x14ac:dyDescent="0.25">
      <c r="C14" t="str">
        <f>T("Valstat")</f>
        <v>Valstat</v>
      </c>
      <c r="D14" t="str">
        <f>T("Poidsnet")</f>
        <v>Poidsnet</v>
      </c>
    </row>
    <row r="15" spans="1:4" x14ac:dyDescent="0.25">
      <c r="C15" t="str">
        <f>T("Valstat")</f>
        <v>Valstat</v>
      </c>
      <c r="D15" t="str">
        <f>T("Poidsnet")</f>
        <v>Poidsnet</v>
      </c>
    </row>
    <row r="16" spans="1:4" x14ac:dyDescent="0.25">
      <c r="A16" t="str">
        <f>T("030223")</f>
        <v>030223</v>
      </c>
      <c r="B16" t="str">
        <f>T("Soles [Solea spp.], fraîches ou réfrigérées")</f>
        <v>Soles [Solea spp.], fraîches ou réfrigérées</v>
      </c>
    </row>
    <row r="17" spans="1:4" x14ac:dyDescent="0.25">
      <c r="A17" t="str">
        <f>T("   ZZZ_Monde")</f>
        <v xml:space="preserve">   ZZZ_Monde</v>
      </c>
      <c r="B17" t="str">
        <f>T("   ZZZ_Monde")</f>
        <v xml:space="preserve">   ZZZ_Monde</v>
      </c>
      <c r="C17">
        <v>1110000</v>
      </c>
      <c r="D17">
        <v>740</v>
      </c>
    </row>
    <row r="18" spans="1:4" x14ac:dyDescent="0.25">
      <c r="A18" t="str">
        <f>T("   CN")</f>
        <v xml:space="preserve">   CN</v>
      </c>
      <c r="B18" t="str">
        <f>T("   Chine")</f>
        <v xml:space="preserve">   Chine</v>
      </c>
      <c r="C18">
        <v>1110000</v>
      </c>
      <c r="D18">
        <v>740</v>
      </c>
    </row>
    <row r="19" spans="1:4" x14ac:dyDescent="0.25">
      <c r="A19" t="str">
        <f>T("030379")</f>
        <v>030379</v>
      </c>
      <c r="B19" t="str">
        <f>T("POISSONS D'EAU DOUCE ET DE MER, COMESTIBLES, CONGELÉS (À L'EXCL. DES SALMONIDÉS, DES POISSONS PLATS, DES THONS, DES LISTAOS OU BONITES À VENTRE RAYÉ, DES HARENGS, DES MORUES, DES ESPADONS, DES LÉGINES, DES SARDINES, DES SARDINELLES, DES SPRATS OU ESPROTS,")</f>
        <v>POISSONS D'EAU DOUCE ET DE MER, COMESTIBLES, CONGELÉS (À L'EXCL. DES SALMONIDÉS, DES POISSONS PLATS, DES THONS, DES LISTAOS OU BONITES À VENTRE RAYÉ, DES HARENGS, DES MORUES, DES ESPADONS, DES LÉGINES, DES SARDINES, DES SARDINELLES, DES SPRATS OU ESPROTS,</v>
      </c>
    </row>
    <row r="20" spans="1:4" x14ac:dyDescent="0.25">
      <c r="A20" t="str">
        <f>T("   ZZZ_Monde")</f>
        <v xml:space="preserve">   ZZZ_Monde</v>
      </c>
      <c r="B20" t="str">
        <f>T("   ZZZ_Monde")</f>
        <v xml:space="preserve">   ZZZ_Monde</v>
      </c>
      <c r="C20">
        <v>532446000</v>
      </c>
      <c r="D20">
        <v>1052801</v>
      </c>
    </row>
    <row r="21" spans="1:4" x14ac:dyDescent="0.25">
      <c r="A21" t="str">
        <f>T("   GH")</f>
        <v xml:space="preserve">   GH</v>
      </c>
      <c r="B21" t="str">
        <f>T("   Ghana")</f>
        <v xml:space="preserve">   Ghana</v>
      </c>
      <c r="C21">
        <v>123870000</v>
      </c>
      <c r="D21">
        <v>279200</v>
      </c>
    </row>
    <row r="22" spans="1:4" x14ac:dyDescent="0.25">
      <c r="A22" t="str">
        <f>T("   TG")</f>
        <v xml:space="preserve">   TG</v>
      </c>
      <c r="B22" t="str">
        <f>T("   Togo")</f>
        <v xml:space="preserve">   Togo</v>
      </c>
      <c r="C22">
        <v>408576000</v>
      </c>
      <c r="D22">
        <v>773601</v>
      </c>
    </row>
    <row r="23" spans="1:4" x14ac:dyDescent="0.25">
      <c r="A23" t="str">
        <f>T("030621")</f>
        <v>030621</v>
      </c>
      <c r="B23" t="str">
        <f>T("Langoustes [Palinurus spp., Panulirus spp., Jasus spp.], même décortiquées, vivantes, fraîches, réfrigérées, séchées, salées ou en saumure, y.c. les langoustes non décortiquées préalablement cuites à l'eau ou à la vapeur")</f>
        <v>Langoustes [Palinurus spp., Panulirus spp., Jasus spp.], même décortiquées, vivantes, fraîches, réfrigérées, séchées, salées ou en saumure, y.c. les langoustes non décortiquées préalablement cuites à l'eau ou à la vapeur</v>
      </c>
    </row>
    <row r="24" spans="1:4" x14ac:dyDescent="0.25">
      <c r="A24" t="str">
        <f>T("   ZZZ_Monde")</f>
        <v xml:space="preserve">   ZZZ_Monde</v>
      </c>
      <c r="B24" t="str">
        <f>T("   ZZZ_Monde")</f>
        <v xml:space="preserve">   ZZZ_Monde</v>
      </c>
      <c r="C24">
        <v>3965000</v>
      </c>
      <c r="D24">
        <v>1810</v>
      </c>
    </row>
    <row r="25" spans="1:4" x14ac:dyDescent="0.25">
      <c r="A25" t="str">
        <f>T("   CN")</f>
        <v xml:space="preserve">   CN</v>
      </c>
      <c r="B25" t="str">
        <f>T("   Chine")</f>
        <v xml:space="preserve">   Chine</v>
      </c>
      <c r="C25">
        <v>3965000</v>
      </c>
      <c r="D25">
        <v>1810</v>
      </c>
    </row>
    <row r="26" spans="1:4" x14ac:dyDescent="0.25">
      <c r="A26" t="str">
        <f>T("030623")</f>
        <v>030623</v>
      </c>
      <c r="B26" t="str">
        <f>T("CREVETTES, MÊME DÉCORTIQUÉES, VIVANTES, FRAÎCHES, RÉFRIGÉRÉES, SÉCHÉES, SALÉES OU EN SAUMURE, Y.C. LES CREVETTES NON-DÉCORTIQUÉES PRÉALABLEMENT CUITES À L'EAU OU À LA VAPEUR")</f>
        <v>CREVETTES, MÊME DÉCORTIQUÉES, VIVANTES, FRAÎCHES, RÉFRIGÉRÉES, SÉCHÉES, SALÉES OU EN SAUMURE, Y.C. LES CREVETTES NON-DÉCORTIQUÉES PRÉALABLEMENT CUITES À L'EAU OU À LA VAPEUR</v>
      </c>
    </row>
    <row r="27" spans="1:4" x14ac:dyDescent="0.25">
      <c r="A27" t="str">
        <f>T("   ZZZ_Monde")</f>
        <v xml:space="preserve">   ZZZ_Monde</v>
      </c>
      <c r="B27" t="str">
        <f>T("   ZZZ_Monde")</f>
        <v xml:space="preserve">   ZZZ_Monde</v>
      </c>
      <c r="C27">
        <v>57973000</v>
      </c>
      <c r="D27">
        <v>20358.5</v>
      </c>
    </row>
    <row r="28" spans="1:4" x14ac:dyDescent="0.25">
      <c r="A28" t="str">
        <f>T("   BE")</f>
        <v xml:space="preserve">   BE</v>
      </c>
      <c r="B28" t="str">
        <f>T("   Belgique")</f>
        <v xml:space="preserve">   Belgique</v>
      </c>
      <c r="C28">
        <v>1250000</v>
      </c>
      <c r="D28">
        <v>1000</v>
      </c>
    </row>
    <row r="29" spans="1:4" x14ac:dyDescent="0.25">
      <c r="A29" t="str">
        <f>T("   CN")</f>
        <v xml:space="preserve">   CN</v>
      </c>
      <c r="B29" t="str">
        <f>T("   Chine")</f>
        <v xml:space="preserve">   Chine</v>
      </c>
      <c r="C29">
        <v>56723000</v>
      </c>
      <c r="D29">
        <v>19358.5</v>
      </c>
    </row>
    <row r="30" spans="1:4" x14ac:dyDescent="0.25">
      <c r="A30" t="str">
        <f>T("030624")</f>
        <v>030624</v>
      </c>
      <c r="B30" t="str">
        <f>T("CRABES, MÊME DÉCORTIQUÉS, VIVANTS, FRAIS, RÉFRIGÉRÉS, SÉCHÉS, SALÉS OU EN SAUMURE, Y.C. LES CRABES NON-DÉCORTIQUÉS PRÉALABLEMENT CUITS À L'EAU OU À LA VAPEUR")</f>
        <v>CRABES, MÊME DÉCORTIQUÉS, VIVANTS, FRAIS, RÉFRIGÉRÉS, SÉCHÉS, SALÉS OU EN SAUMURE, Y.C. LES CRABES NON-DÉCORTIQUÉS PRÉALABLEMENT CUITS À L'EAU OU À LA VAPEUR</v>
      </c>
    </row>
    <row r="31" spans="1:4" x14ac:dyDescent="0.25">
      <c r="A31" t="str">
        <f>T("   ZZZ_Monde")</f>
        <v xml:space="preserve">   ZZZ_Monde</v>
      </c>
      <c r="B31" t="str">
        <f>T("   ZZZ_Monde")</f>
        <v xml:space="preserve">   ZZZ_Monde</v>
      </c>
      <c r="C31">
        <v>1072000</v>
      </c>
      <c r="D31">
        <v>2320</v>
      </c>
    </row>
    <row r="32" spans="1:4" x14ac:dyDescent="0.25">
      <c r="A32" t="str">
        <f>T("   CN")</f>
        <v xml:space="preserve">   CN</v>
      </c>
      <c r="B32" t="str">
        <f>T("   Chine")</f>
        <v xml:space="preserve">   Chine</v>
      </c>
      <c r="C32">
        <v>1072000</v>
      </c>
      <c r="D32">
        <v>2320</v>
      </c>
    </row>
    <row r="33" spans="1:4" x14ac:dyDescent="0.25">
      <c r="A33" t="str">
        <f>T("040510")</f>
        <v>040510</v>
      </c>
      <c r="B33" t="str">
        <f>T("Beurre (sauf beurre déshydraté et ghee)")</f>
        <v>Beurre (sauf beurre déshydraté et ghee)</v>
      </c>
    </row>
    <row r="34" spans="1:4" x14ac:dyDescent="0.25">
      <c r="A34" t="str">
        <f>T("   ZZZ_Monde")</f>
        <v xml:space="preserve">   ZZZ_Monde</v>
      </c>
      <c r="B34" t="str">
        <f>T("   ZZZ_Monde")</f>
        <v xml:space="preserve">   ZZZ_Monde</v>
      </c>
      <c r="C34">
        <v>1935480</v>
      </c>
      <c r="D34">
        <v>141</v>
      </c>
    </row>
    <row r="35" spans="1:4" x14ac:dyDescent="0.25">
      <c r="A35" t="str">
        <f>T("   FR")</f>
        <v xml:space="preserve">   FR</v>
      </c>
      <c r="B35" t="str">
        <f>T("   France")</f>
        <v xml:space="preserve">   France</v>
      </c>
      <c r="C35">
        <v>120000</v>
      </c>
      <c r="D35">
        <v>21</v>
      </c>
    </row>
    <row r="36" spans="1:4" x14ac:dyDescent="0.25">
      <c r="A36" t="str">
        <f>T("   IT")</f>
        <v xml:space="preserve">   IT</v>
      </c>
      <c r="B36" t="str">
        <f>T("   Italie")</f>
        <v xml:space="preserve">   Italie</v>
      </c>
      <c r="C36">
        <v>1815480</v>
      </c>
      <c r="D36">
        <v>120</v>
      </c>
    </row>
    <row r="37" spans="1:4" x14ac:dyDescent="0.25">
      <c r="A37" t="str">
        <f>T("060499")</f>
        <v>060499</v>
      </c>
      <c r="B37" t="str">
        <f>T("Feuillages, feuilles, rameaux et autres parties de plantes, sans fleurs ni boutons de fleurs, et herbes, pour bouquets ou pour ornements, séchés, blanchis, teints, imprégnés ou autrement travaillés")</f>
        <v>Feuillages, feuilles, rameaux et autres parties de plantes, sans fleurs ni boutons de fleurs, et herbes, pour bouquets ou pour ornements, séchés, blanchis, teints, imprégnés ou autrement travaillés</v>
      </c>
    </row>
    <row r="38" spans="1:4" x14ac:dyDescent="0.25">
      <c r="A38" t="str">
        <f>T("   ZZZ_Monde")</f>
        <v xml:space="preserve">   ZZZ_Monde</v>
      </c>
      <c r="B38" t="str">
        <f>T("   ZZZ_Monde")</f>
        <v xml:space="preserve">   ZZZ_Monde</v>
      </c>
      <c r="C38">
        <v>615000</v>
      </c>
      <c r="D38">
        <v>10000</v>
      </c>
    </row>
    <row r="39" spans="1:4" x14ac:dyDescent="0.25">
      <c r="A39" t="str">
        <f>T("   CG")</f>
        <v xml:space="preserve">   CG</v>
      </c>
      <c r="B39" t="str">
        <f>T("   Congo (Brazzaville)")</f>
        <v xml:space="preserve">   Congo (Brazzaville)</v>
      </c>
      <c r="C39">
        <v>615000</v>
      </c>
      <c r="D39">
        <v>10000</v>
      </c>
    </row>
    <row r="40" spans="1:4" x14ac:dyDescent="0.25">
      <c r="A40" t="str">
        <f>T("071332")</f>
        <v>071332</v>
      </c>
      <c r="B40" t="str">
        <f>T("Haricots 'petits rouges' [haricots Adzuki] 'Phaseolus ou Vigna angularis', secs, écossés, même décortiqués ou cassés")</f>
        <v>Haricots 'petits rouges' [haricots Adzuki] 'Phaseolus ou Vigna angularis', secs, écossés, même décortiqués ou cassés</v>
      </c>
    </row>
    <row r="41" spans="1:4" x14ac:dyDescent="0.25">
      <c r="A41" t="str">
        <f>T("   ZZZ_Monde")</f>
        <v xml:space="preserve">   ZZZ_Monde</v>
      </c>
      <c r="B41" t="str">
        <f>T("   ZZZ_Monde")</f>
        <v xml:space="preserve">   ZZZ_Monde</v>
      </c>
      <c r="C41">
        <v>1875000</v>
      </c>
      <c r="D41">
        <v>15000</v>
      </c>
    </row>
    <row r="42" spans="1:4" x14ac:dyDescent="0.25">
      <c r="A42" t="str">
        <f>T("   CG")</f>
        <v xml:space="preserve">   CG</v>
      </c>
      <c r="B42" t="str">
        <f>T("   Congo (Brazzaville)")</f>
        <v xml:space="preserve">   Congo (Brazzaville)</v>
      </c>
      <c r="C42">
        <v>1875000</v>
      </c>
      <c r="D42">
        <v>15000</v>
      </c>
    </row>
    <row r="43" spans="1:4" x14ac:dyDescent="0.25">
      <c r="A43" t="str">
        <f>T("071339")</f>
        <v>071339</v>
      </c>
      <c r="B43" t="str">
        <f>T("Haricots 'Vigna spp., Phaseolus spp.', secs, écossés, même décortiqués ou cassés (à l'excl. des haricots des espèces 'Vigna mungo L. Hepper ou Vigna radiata L. Wilczek', des haricots 'petits rouges' [haricots Adzuki] et des haricots communs)")</f>
        <v>Haricots 'Vigna spp., Phaseolus spp.', secs, écossés, même décortiqués ou cassés (à l'excl. des haricots des espèces 'Vigna mungo L. Hepper ou Vigna radiata L. Wilczek', des haricots 'petits rouges' [haricots Adzuki] et des haricots communs)</v>
      </c>
    </row>
    <row r="44" spans="1:4" x14ac:dyDescent="0.25">
      <c r="A44" t="str">
        <f>T("   ZZZ_Monde")</f>
        <v xml:space="preserve">   ZZZ_Monde</v>
      </c>
      <c r="B44" t="str">
        <f>T("   ZZZ_Monde")</f>
        <v xml:space="preserve">   ZZZ_Monde</v>
      </c>
      <c r="C44">
        <v>3180000</v>
      </c>
      <c r="D44">
        <v>20250</v>
      </c>
    </row>
    <row r="45" spans="1:4" x14ac:dyDescent="0.25">
      <c r="A45" t="str">
        <f>T("   CD")</f>
        <v xml:space="preserve">   CD</v>
      </c>
      <c r="B45" t="str">
        <f>T("   Congo, République Démocratique")</f>
        <v xml:space="preserve">   Congo, République Démocratique</v>
      </c>
      <c r="C45">
        <v>2160000</v>
      </c>
      <c r="D45">
        <v>12600</v>
      </c>
    </row>
    <row r="46" spans="1:4" x14ac:dyDescent="0.25">
      <c r="A46" t="str">
        <f>T("   GA")</f>
        <v xml:space="preserve">   GA</v>
      </c>
      <c r="B46" t="str">
        <f>T("   Gabon")</f>
        <v xml:space="preserve">   Gabon</v>
      </c>
      <c r="C46">
        <v>1020000</v>
      </c>
      <c r="D46">
        <v>7650</v>
      </c>
    </row>
    <row r="47" spans="1:4" x14ac:dyDescent="0.25">
      <c r="A47" t="str">
        <f>T("071490")</f>
        <v>071490</v>
      </c>
      <c r="B47" t="str">
        <f>T("Racines d'arrow-root ou de salep, topinambours et racines et tubercules simil. à haute teneur en fécule ou en inuline, frais, réfrigérés, congelés ou séchés, même débités en morceaux ou agglomérés sous forme de pellets et moelle de sagoutier (à l'excl. de")</f>
        <v>Racines d'arrow-root ou de salep, topinambours et racines et tubercules simil. à haute teneur en fécule ou en inuline, frais, réfrigérés, congelés ou séchés, même débités en morceaux ou agglomérés sous forme de pellets et moelle de sagoutier (à l'excl. de</v>
      </c>
    </row>
    <row r="48" spans="1:4" x14ac:dyDescent="0.25">
      <c r="A48" t="str">
        <f>T("   ZZZ_Monde")</f>
        <v xml:space="preserve">   ZZZ_Monde</v>
      </c>
      <c r="B48" t="str">
        <f>T("   ZZZ_Monde")</f>
        <v xml:space="preserve">   ZZZ_Monde</v>
      </c>
      <c r="C48">
        <v>12005000</v>
      </c>
      <c r="D48">
        <v>163500</v>
      </c>
    </row>
    <row r="49" spans="1:4" x14ac:dyDescent="0.25">
      <c r="A49" t="str">
        <f>T("   GA")</f>
        <v xml:space="preserve">   GA</v>
      </c>
      <c r="B49" t="str">
        <f>T("   Gabon")</f>
        <v xml:space="preserve">   Gabon</v>
      </c>
      <c r="C49">
        <v>10805000</v>
      </c>
      <c r="D49">
        <v>151500</v>
      </c>
    </row>
    <row r="50" spans="1:4" x14ac:dyDescent="0.25">
      <c r="A50" t="str">
        <f>T("   US")</f>
        <v xml:space="preserve">   US</v>
      </c>
      <c r="B50" t="str">
        <f>T("   Etats-Unis")</f>
        <v xml:space="preserve">   Etats-Unis</v>
      </c>
      <c r="C50">
        <v>1200000</v>
      </c>
      <c r="D50">
        <v>12000</v>
      </c>
    </row>
    <row r="51" spans="1:4" x14ac:dyDescent="0.25">
      <c r="A51" t="str">
        <f>T("080121")</f>
        <v>080121</v>
      </c>
      <c r="B51" t="str">
        <f>T("Noix du Brésil, fraîches ou sèches, en coques")</f>
        <v>Noix du Brésil, fraîches ou sèches, en coques</v>
      </c>
    </row>
    <row r="52" spans="1:4" x14ac:dyDescent="0.25">
      <c r="A52" t="str">
        <f>T("   ZZZ_Monde")</f>
        <v xml:space="preserve">   ZZZ_Monde</v>
      </c>
      <c r="B52" t="str">
        <f>T("   ZZZ_Monde")</f>
        <v xml:space="preserve">   ZZZ_Monde</v>
      </c>
      <c r="C52">
        <v>42856752</v>
      </c>
      <c r="D52">
        <v>203440</v>
      </c>
    </row>
    <row r="53" spans="1:4" x14ac:dyDescent="0.25">
      <c r="A53" t="str">
        <f>T("   CN")</f>
        <v xml:space="preserve">   CN</v>
      </c>
      <c r="B53" t="str">
        <f>T("   Chine")</f>
        <v xml:space="preserve">   Chine</v>
      </c>
      <c r="C53">
        <v>21189916</v>
      </c>
      <c r="D53">
        <v>101360</v>
      </c>
    </row>
    <row r="54" spans="1:4" x14ac:dyDescent="0.25">
      <c r="A54" t="str">
        <f>T("   IN")</f>
        <v xml:space="preserve">   IN</v>
      </c>
      <c r="B54" t="str">
        <f>T("   Inde")</f>
        <v xml:space="preserve">   Inde</v>
      </c>
      <c r="C54">
        <v>21666836</v>
      </c>
      <c r="D54">
        <v>102080</v>
      </c>
    </row>
    <row r="55" spans="1:4" x14ac:dyDescent="0.25">
      <c r="A55" t="str">
        <f>T("080131")</f>
        <v>080131</v>
      </c>
      <c r="B55" t="str">
        <f>T("Noix de cajou, fraîches ou sèches, en coques")</f>
        <v>Noix de cajou, fraîches ou sèches, en coques</v>
      </c>
    </row>
    <row r="56" spans="1:4" x14ac:dyDescent="0.25">
      <c r="A56" t="str">
        <f>T("   ZZZ_Monde")</f>
        <v xml:space="preserve">   ZZZ_Monde</v>
      </c>
      <c r="B56" t="str">
        <f>T("   ZZZ_Monde")</f>
        <v xml:space="preserve">   ZZZ_Monde</v>
      </c>
      <c r="C56">
        <v>17696945381</v>
      </c>
      <c r="D56">
        <v>51265077</v>
      </c>
    </row>
    <row r="57" spans="1:4" x14ac:dyDescent="0.25">
      <c r="A57" t="str">
        <f>T("   AE")</f>
        <v xml:space="preserve">   AE</v>
      </c>
      <c r="B57" t="str">
        <f>T("   Emirats Arabes Unis")</f>
        <v xml:space="preserve">   Emirats Arabes Unis</v>
      </c>
      <c r="C57">
        <v>744172155</v>
      </c>
      <c r="D57">
        <v>1638419</v>
      </c>
    </row>
    <row r="58" spans="1:4" x14ac:dyDescent="0.25">
      <c r="A58" t="str">
        <f>T("   AU")</f>
        <v xml:space="preserve">   AU</v>
      </c>
      <c r="B58" t="str">
        <f>T("   Australie")</f>
        <v xml:space="preserve">   Australie</v>
      </c>
      <c r="C58">
        <v>300000000</v>
      </c>
      <c r="D58">
        <v>1500000</v>
      </c>
    </row>
    <row r="59" spans="1:4" x14ac:dyDescent="0.25">
      <c r="A59" t="str">
        <f>T("   CN")</f>
        <v xml:space="preserve">   CN</v>
      </c>
      <c r="B59" t="str">
        <f>T("   Chine")</f>
        <v xml:space="preserve">   Chine</v>
      </c>
      <c r="C59">
        <v>38350000</v>
      </c>
      <c r="D59">
        <v>200000</v>
      </c>
    </row>
    <row r="60" spans="1:4" x14ac:dyDescent="0.25">
      <c r="A60" t="str">
        <f>T("   HK")</f>
        <v xml:space="preserve">   HK</v>
      </c>
      <c r="B60" t="str">
        <f>T("   Hong-Kong")</f>
        <v xml:space="preserve">   Hong-Kong</v>
      </c>
      <c r="C60">
        <v>364443971</v>
      </c>
      <c r="D60">
        <v>1030580</v>
      </c>
    </row>
    <row r="61" spans="1:4" x14ac:dyDescent="0.25">
      <c r="A61" t="str">
        <f>T("   ID")</f>
        <v xml:space="preserve">   ID</v>
      </c>
      <c r="B61" t="str">
        <f>T("   Indonésie")</f>
        <v xml:space="preserve">   Indonésie</v>
      </c>
      <c r="C61">
        <v>900000</v>
      </c>
      <c r="D61">
        <v>4500</v>
      </c>
    </row>
    <row r="62" spans="1:4" x14ac:dyDescent="0.25">
      <c r="A62" t="str">
        <f>T("   IN")</f>
        <v xml:space="preserve">   IN</v>
      </c>
      <c r="B62" t="str">
        <f>T("   Inde")</f>
        <v xml:space="preserve">   Inde</v>
      </c>
      <c r="C62">
        <v>13631004284</v>
      </c>
      <c r="D62">
        <v>39986921</v>
      </c>
    </row>
    <row r="63" spans="1:4" x14ac:dyDescent="0.25">
      <c r="A63" t="str">
        <f>T("   MA")</f>
        <v xml:space="preserve">   MA</v>
      </c>
      <c r="B63" t="str">
        <f>T("   Maroc")</f>
        <v xml:space="preserve">   Maroc</v>
      </c>
      <c r="C63">
        <v>14625927</v>
      </c>
      <c r="D63">
        <v>51086</v>
      </c>
    </row>
    <row r="64" spans="1:4" x14ac:dyDescent="0.25">
      <c r="A64" t="str">
        <f>T("   NL")</f>
        <v xml:space="preserve">   NL</v>
      </c>
      <c r="B64" t="str">
        <f>T("   Pays-bas")</f>
        <v xml:space="preserve">   Pays-bas</v>
      </c>
      <c r="C64">
        <v>140941837</v>
      </c>
      <c r="D64">
        <v>320000</v>
      </c>
    </row>
    <row r="65" spans="1:4" x14ac:dyDescent="0.25">
      <c r="A65" t="str">
        <f>T("   SG")</f>
        <v xml:space="preserve">   SG</v>
      </c>
      <c r="B65" t="str">
        <f>T("   Singapour")</f>
        <v xml:space="preserve">   Singapour</v>
      </c>
      <c r="C65">
        <v>951378255</v>
      </c>
      <c r="D65">
        <v>1818204</v>
      </c>
    </row>
    <row r="66" spans="1:4" x14ac:dyDescent="0.25">
      <c r="A66" t="str">
        <f>T("   VN")</f>
        <v xml:space="preserve">   VN</v>
      </c>
      <c r="B66" t="str">
        <f>T("   Vietnam")</f>
        <v xml:space="preserve">   Vietnam</v>
      </c>
      <c r="C66">
        <v>1476401378</v>
      </c>
      <c r="D66">
        <v>4185951</v>
      </c>
    </row>
    <row r="67" spans="1:4" x14ac:dyDescent="0.25">
      <c r="A67" t="str">
        <f>T("   ZA")</f>
        <v xml:space="preserve">   ZA</v>
      </c>
      <c r="B67" t="str">
        <f>T("   Afrique du Sud")</f>
        <v xml:space="preserve">   Afrique du Sud</v>
      </c>
      <c r="C67">
        <v>34727574</v>
      </c>
      <c r="D67">
        <v>529416</v>
      </c>
    </row>
    <row r="68" spans="1:4" x14ac:dyDescent="0.25">
      <c r="A68" t="str">
        <f>T("080132")</f>
        <v>080132</v>
      </c>
      <c r="B68" t="str">
        <f>T("Noix de cajou, fraîches ou sèches, sans coques")</f>
        <v>Noix de cajou, fraîches ou sèches, sans coques</v>
      </c>
    </row>
    <row r="69" spans="1:4" x14ac:dyDescent="0.25">
      <c r="A69" t="str">
        <f>T("   ZZZ_Monde")</f>
        <v xml:space="preserve">   ZZZ_Monde</v>
      </c>
      <c r="B69" t="str">
        <f>T("   ZZZ_Monde")</f>
        <v xml:space="preserve">   ZZZ_Monde</v>
      </c>
      <c r="C69">
        <v>197147997</v>
      </c>
      <c r="D69">
        <v>83077</v>
      </c>
    </row>
    <row r="70" spans="1:4" x14ac:dyDescent="0.25">
      <c r="A70" t="str">
        <f>T("   NL")</f>
        <v xml:space="preserve">   NL</v>
      </c>
      <c r="B70" t="str">
        <f>T("   Pays-bas")</f>
        <v xml:space="preserve">   Pays-bas</v>
      </c>
      <c r="C70">
        <v>167847405</v>
      </c>
      <c r="D70">
        <v>69333</v>
      </c>
    </row>
    <row r="71" spans="1:4" x14ac:dyDescent="0.25">
      <c r="A71" t="str">
        <f>T("   ZA")</f>
        <v xml:space="preserve">   ZA</v>
      </c>
      <c r="B71" t="str">
        <f>T("   Afrique du Sud")</f>
        <v xml:space="preserve">   Afrique du Sud</v>
      </c>
      <c r="C71">
        <v>29300592</v>
      </c>
      <c r="D71">
        <v>13744</v>
      </c>
    </row>
    <row r="72" spans="1:4" x14ac:dyDescent="0.25">
      <c r="A72" t="str">
        <f>T("080211")</f>
        <v>080211</v>
      </c>
      <c r="B72" t="str">
        <f>T("Amandes, fraîches ou sèches, en coques")</f>
        <v>Amandes, fraîches ou sèches, en coques</v>
      </c>
    </row>
    <row r="73" spans="1:4" x14ac:dyDescent="0.25">
      <c r="A73" t="str">
        <f>T("   ZZZ_Monde")</f>
        <v xml:space="preserve">   ZZZ_Monde</v>
      </c>
      <c r="B73" t="str">
        <f>T("   ZZZ_Monde")</f>
        <v xml:space="preserve">   ZZZ_Monde</v>
      </c>
      <c r="C73">
        <v>5540683256</v>
      </c>
      <c r="D73">
        <v>28849635</v>
      </c>
    </row>
    <row r="74" spans="1:4" x14ac:dyDescent="0.25">
      <c r="A74" t="str">
        <f>T("   DE")</f>
        <v xml:space="preserve">   DE</v>
      </c>
      <c r="B74" t="str">
        <f>T("   Allemagne")</f>
        <v xml:space="preserve">   Allemagne</v>
      </c>
      <c r="C74">
        <v>57396500</v>
      </c>
      <c r="D74">
        <v>350000</v>
      </c>
    </row>
    <row r="75" spans="1:4" x14ac:dyDescent="0.25">
      <c r="A75" t="str">
        <f>T("   DK")</f>
        <v xml:space="preserve">   DK</v>
      </c>
      <c r="B75" t="str">
        <f>T("   Danemark")</f>
        <v xml:space="preserve">   Danemark</v>
      </c>
      <c r="C75">
        <v>5431512790</v>
      </c>
      <c r="D75">
        <v>27170000</v>
      </c>
    </row>
    <row r="76" spans="1:4" x14ac:dyDescent="0.25">
      <c r="A76" t="str">
        <f>T("   GH")</f>
        <v xml:space="preserve">   GH</v>
      </c>
      <c r="B76" t="str">
        <f>T("   Ghana")</f>
        <v xml:space="preserve">   Ghana</v>
      </c>
      <c r="C76">
        <v>15147918</v>
      </c>
      <c r="D76">
        <v>708932</v>
      </c>
    </row>
    <row r="77" spans="1:4" x14ac:dyDescent="0.25">
      <c r="A77" t="str">
        <f>T("   IN")</f>
        <v xml:space="preserve">   IN</v>
      </c>
      <c r="B77" t="str">
        <f>T("   Inde")</f>
        <v xml:space="preserve">   Inde</v>
      </c>
      <c r="C77">
        <v>36626048</v>
      </c>
      <c r="D77">
        <v>620703</v>
      </c>
    </row>
    <row r="78" spans="1:4" x14ac:dyDescent="0.25">
      <c r="A78" t="str">
        <f>T("080221")</f>
        <v>080221</v>
      </c>
      <c r="B78" t="str">
        <f>T("Noisettes 'Corylus spp.', fraîches ou sèches, en coques")</f>
        <v>Noisettes 'Corylus spp.', fraîches ou sèches, en coques</v>
      </c>
    </row>
    <row r="79" spans="1:4" x14ac:dyDescent="0.25">
      <c r="A79" t="str">
        <f>T("   ZZZ_Monde")</f>
        <v xml:space="preserve">   ZZZ_Monde</v>
      </c>
      <c r="B79" t="str">
        <f>T("   ZZZ_Monde")</f>
        <v xml:space="preserve">   ZZZ_Monde</v>
      </c>
      <c r="C79">
        <v>19600000</v>
      </c>
      <c r="D79">
        <v>97600</v>
      </c>
    </row>
    <row r="80" spans="1:4" x14ac:dyDescent="0.25">
      <c r="A80" t="str">
        <f>T("   IN")</f>
        <v xml:space="preserve">   IN</v>
      </c>
      <c r="B80" t="str">
        <f>T("   Inde")</f>
        <v xml:space="preserve">   Inde</v>
      </c>
      <c r="C80">
        <v>19600000</v>
      </c>
      <c r="D80">
        <v>97600</v>
      </c>
    </row>
    <row r="81" spans="1:4" x14ac:dyDescent="0.25">
      <c r="A81" t="str">
        <f>T("080290")</f>
        <v>080290</v>
      </c>
      <c r="B81" t="str">
        <f>T("FRUITS À COQUES, FRAIS OU SECS, MÊME SANS LEURS COQUES OU DÉCORTIQUÉS (À L'EXCL. DES NOIX DE COCO, DU BRÉSIL OU DE CAJOU AINSI QUE DES AMANDES, DES NOISETTES, DES NOIX COMMUNES, DES CHÂTAIGNES, DES MARRONS, DES PISTACHESE ET DES NOIX MACADAMIA)")</f>
        <v>FRUITS À COQUES, FRAIS OU SECS, MÊME SANS LEURS COQUES OU DÉCORTIQUÉS (À L'EXCL. DES NOIX DE COCO, DU BRÉSIL OU DE CAJOU AINSI QUE DES AMANDES, DES NOISETTES, DES NOIX COMMUNES, DES CHÂTAIGNES, DES MARRONS, DES PISTACHESE ET DES NOIX MACADAMIA)</v>
      </c>
    </row>
    <row r="82" spans="1:4" x14ac:dyDescent="0.25">
      <c r="A82" t="str">
        <f>T("   ZZZ_Monde")</f>
        <v xml:space="preserve">   ZZZ_Monde</v>
      </c>
      <c r="B82" t="str">
        <f>T("   ZZZ_Monde")</f>
        <v xml:space="preserve">   ZZZ_Monde</v>
      </c>
      <c r="C82">
        <v>1110550920</v>
      </c>
      <c r="D82">
        <v>7836558</v>
      </c>
    </row>
    <row r="83" spans="1:4" x14ac:dyDescent="0.25">
      <c r="A83" t="str">
        <f>T("   IN")</f>
        <v xml:space="preserve">   IN</v>
      </c>
      <c r="B83" t="str">
        <f>T("   Inde")</f>
        <v xml:space="preserve">   Inde</v>
      </c>
      <c r="C83">
        <v>1108326920</v>
      </c>
      <c r="D83">
        <v>7812478</v>
      </c>
    </row>
    <row r="84" spans="1:4" x14ac:dyDescent="0.25">
      <c r="A84" t="str">
        <f>T("   SN")</f>
        <v xml:space="preserve">   SN</v>
      </c>
      <c r="B84" t="str">
        <f>T("   Sénégal")</f>
        <v xml:space="preserve">   Sénégal</v>
      </c>
      <c r="C84">
        <v>1224000</v>
      </c>
      <c r="D84">
        <v>4080</v>
      </c>
    </row>
    <row r="85" spans="1:4" x14ac:dyDescent="0.25">
      <c r="A85" t="str">
        <f>T("   TH")</f>
        <v xml:space="preserve">   TH</v>
      </c>
      <c r="B85" t="str">
        <f>T("   Thaïlande")</f>
        <v xml:space="preserve">   Thaïlande</v>
      </c>
      <c r="C85">
        <v>1000000</v>
      </c>
      <c r="D85">
        <v>20000</v>
      </c>
    </row>
    <row r="86" spans="1:4" x14ac:dyDescent="0.25">
      <c r="A86" t="str">
        <f>T("080410")</f>
        <v>080410</v>
      </c>
      <c r="B86" t="str">
        <f>T("Dattes, fraîches ou sèches")</f>
        <v>Dattes, fraîches ou sèches</v>
      </c>
    </row>
    <row r="87" spans="1:4" x14ac:dyDescent="0.25">
      <c r="A87" t="str">
        <f>T("   ZZZ_Monde")</f>
        <v xml:space="preserve">   ZZZ_Monde</v>
      </c>
      <c r="B87" t="str">
        <f>T("   ZZZ_Monde")</f>
        <v xml:space="preserve">   ZZZ_Monde</v>
      </c>
      <c r="C87">
        <v>1450000</v>
      </c>
      <c r="D87">
        <v>12000</v>
      </c>
    </row>
    <row r="88" spans="1:4" x14ac:dyDescent="0.25">
      <c r="A88" t="str">
        <f>T("   GA")</f>
        <v xml:space="preserve">   GA</v>
      </c>
      <c r="B88" t="str">
        <f>T("   Gabon")</f>
        <v xml:space="preserve">   Gabon</v>
      </c>
      <c r="C88">
        <v>1450000</v>
      </c>
      <c r="D88">
        <v>12000</v>
      </c>
    </row>
    <row r="89" spans="1:4" x14ac:dyDescent="0.25">
      <c r="A89" t="str">
        <f>T("080430")</f>
        <v>080430</v>
      </c>
      <c r="B89" t="str">
        <f>T("Ananas, frais ou secs")</f>
        <v>Ananas, frais ou secs</v>
      </c>
    </row>
    <row r="90" spans="1:4" x14ac:dyDescent="0.25">
      <c r="A90" t="str">
        <f>T("   ZZZ_Monde")</f>
        <v xml:space="preserve">   ZZZ_Monde</v>
      </c>
      <c r="B90" t="str">
        <f>T("   ZZZ_Monde")</f>
        <v xml:space="preserve">   ZZZ_Monde</v>
      </c>
      <c r="C90">
        <v>9135221</v>
      </c>
      <c r="D90">
        <v>4415</v>
      </c>
    </row>
    <row r="91" spans="1:4" x14ac:dyDescent="0.25">
      <c r="A91" t="str">
        <f>T("   BE")</f>
        <v xml:space="preserve">   BE</v>
      </c>
      <c r="B91" t="str">
        <f>T("   Belgique")</f>
        <v xml:space="preserve">   Belgique</v>
      </c>
      <c r="C91">
        <v>7279516</v>
      </c>
      <c r="D91">
        <v>90</v>
      </c>
    </row>
    <row r="92" spans="1:4" x14ac:dyDescent="0.25">
      <c r="A92" t="str">
        <f>T("   FR")</f>
        <v xml:space="preserve">   FR</v>
      </c>
      <c r="B92" t="str">
        <f>T("   France")</f>
        <v xml:space="preserve">   France</v>
      </c>
      <c r="C92">
        <v>1199745</v>
      </c>
      <c r="D92">
        <v>1875</v>
      </c>
    </row>
    <row r="93" spans="1:4" x14ac:dyDescent="0.25">
      <c r="A93" t="str">
        <f>T("   MA")</f>
        <v xml:space="preserve">   MA</v>
      </c>
      <c r="B93" t="str">
        <f>T("   Maroc")</f>
        <v xml:space="preserve">   Maroc</v>
      </c>
      <c r="C93">
        <v>655960</v>
      </c>
      <c r="D93">
        <v>2450</v>
      </c>
    </row>
    <row r="94" spans="1:4" x14ac:dyDescent="0.25">
      <c r="A94" t="str">
        <f>T("080590")</f>
        <v>080590</v>
      </c>
      <c r="B94" t="str">
        <f>T("AGRUMES, FRAIS OU SECS (À L'EXCL. DES ORANGES, DES CITRONS 'CITRUS LIMON, CITRUS LIMONUM', DES LIMES 'CITRUS AURANTIFOLIA, CITRUS LATIFOLIA', DES PAMPLEMOUSSES, DES POMÉLOS, DES MANDARINES - Y.C. LES TANGERINES ET LES SATSUMAS -, DES CLÉMENTINES, DES WILK")</f>
        <v>AGRUMES, FRAIS OU SECS (À L'EXCL. DES ORANGES, DES CITRONS 'CITRUS LIMON, CITRUS LIMONUM', DES LIMES 'CITRUS AURANTIFOLIA, CITRUS LATIFOLIA', DES PAMPLEMOUSSES, DES POMÉLOS, DES MANDARINES - Y.C. LES TANGERINES ET LES SATSUMAS -, DES CLÉMENTINES, DES WILK</v>
      </c>
    </row>
    <row r="95" spans="1:4" x14ac:dyDescent="0.25">
      <c r="A95" t="str">
        <f>T("   ZZZ_Monde")</f>
        <v xml:space="preserve">   ZZZ_Monde</v>
      </c>
      <c r="B95" t="str">
        <f>T("   ZZZ_Monde")</f>
        <v xml:space="preserve">   ZZZ_Monde</v>
      </c>
      <c r="C95">
        <v>500000</v>
      </c>
      <c r="D95">
        <v>10000</v>
      </c>
    </row>
    <row r="96" spans="1:4" x14ac:dyDescent="0.25">
      <c r="A96" t="str">
        <f>T("   VN")</f>
        <v xml:space="preserve">   VN</v>
      </c>
      <c r="B96" t="str">
        <f>T("   Vietnam")</f>
        <v xml:space="preserve">   Vietnam</v>
      </c>
      <c r="C96">
        <v>500000</v>
      </c>
      <c r="D96">
        <v>10000</v>
      </c>
    </row>
    <row r="97" spans="1:4" x14ac:dyDescent="0.25">
      <c r="A97" t="str">
        <f>T("081340")</f>
        <v>081340</v>
      </c>
      <c r="B97" t="str">
        <f>T("PÊCHES, POIRES, PAPAYES, TAMARINS ET AUTRES FRUITS COMESTIBLES, SÉCHÉS (SAUF FRUITS À COQUE, BANANES, DATTES, FIGUES, ANANAS, AVOCATS, GOYAVES, MANGUES, MAGOUSTANS, AGRUMES, RAISINS, ABRICOTS, PRUNES ET POMMES, NON-MÉLANGÉS)")</f>
        <v>PÊCHES, POIRES, PAPAYES, TAMARINS ET AUTRES FRUITS COMESTIBLES, SÉCHÉS (SAUF FRUITS À COQUE, BANANES, DATTES, FIGUES, ANANAS, AVOCATS, GOYAVES, MANGUES, MAGOUSTANS, AGRUMES, RAISINS, ABRICOTS, PRUNES ET POMMES, NON-MÉLANGÉS)</v>
      </c>
    </row>
    <row r="98" spans="1:4" x14ac:dyDescent="0.25">
      <c r="A98" t="str">
        <f>T("   ZZZ_Monde")</f>
        <v xml:space="preserve">   ZZZ_Monde</v>
      </c>
      <c r="B98" t="str">
        <f>T("   ZZZ_Monde")</f>
        <v xml:space="preserve">   ZZZ_Monde</v>
      </c>
      <c r="C98">
        <v>7867188</v>
      </c>
      <c r="D98">
        <v>56194</v>
      </c>
    </row>
    <row r="99" spans="1:4" x14ac:dyDescent="0.25">
      <c r="A99" t="str">
        <f>T("   IN")</f>
        <v xml:space="preserve">   IN</v>
      </c>
      <c r="B99" t="str">
        <f>T("   Inde")</f>
        <v xml:space="preserve">   Inde</v>
      </c>
      <c r="C99">
        <v>7867188</v>
      </c>
      <c r="D99">
        <v>56194</v>
      </c>
    </row>
    <row r="100" spans="1:4" x14ac:dyDescent="0.25">
      <c r="A100" t="str">
        <f>T("090420")</f>
        <v>090420</v>
      </c>
      <c r="B100" t="str">
        <f>T("Piments du genre 'Capsicum' ou du genre 'Pimenta', séchés ou broyés ou pulvérisés")</f>
        <v>Piments du genre 'Capsicum' ou du genre 'Pimenta', séchés ou broyés ou pulvérisés</v>
      </c>
    </row>
    <row r="101" spans="1:4" x14ac:dyDescent="0.25">
      <c r="A101" t="str">
        <f>T("   ZZZ_Monde")</f>
        <v xml:space="preserve">   ZZZ_Monde</v>
      </c>
      <c r="B101" t="str">
        <f>T("   ZZZ_Monde")</f>
        <v xml:space="preserve">   ZZZ_Monde</v>
      </c>
      <c r="C101">
        <v>8521980</v>
      </c>
      <c r="D101">
        <v>28506</v>
      </c>
    </row>
    <row r="102" spans="1:4" x14ac:dyDescent="0.25">
      <c r="A102" t="str">
        <f>T("   ID")</f>
        <v xml:space="preserve">   ID</v>
      </c>
      <c r="B102" t="str">
        <f>T("   Indonésie")</f>
        <v xml:space="preserve">   Indonésie</v>
      </c>
      <c r="C102">
        <v>2500000</v>
      </c>
      <c r="D102">
        <v>16048</v>
      </c>
    </row>
    <row r="103" spans="1:4" x14ac:dyDescent="0.25">
      <c r="A103" t="str">
        <f>T("   SN")</f>
        <v xml:space="preserve">   SN</v>
      </c>
      <c r="B103" t="str">
        <f>T("   Sénégal")</f>
        <v xml:space="preserve">   Sénégal</v>
      </c>
      <c r="C103">
        <v>6021980</v>
      </c>
      <c r="D103">
        <v>12458</v>
      </c>
    </row>
    <row r="104" spans="1:4" x14ac:dyDescent="0.25">
      <c r="A104" t="str">
        <f>T("091010")</f>
        <v>091010</v>
      </c>
      <c r="B104" t="str">
        <f>T("Gingembre")</f>
        <v>Gingembre</v>
      </c>
    </row>
    <row r="105" spans="1:4" x14ac:dyDescent="0.25">
      <c r="A105" t="str">
        <f>T("   ZZZ_Monde")</f>
        <v xml:space="preserve">   ZZZ_Monde</v>
      </c>
      <c r="B105" t="str">
        <f>T("   ZZZ_Monde")</f>
        <v xml:space="preserve">   ZZZ_Monde</v>
      </c>
      <c r="C105">
        <v>17622580</v>
      </c>
      <c r="D105">
        <v>90720</v>
      </c>
    </row>
    <row r="106" spans="1:4" x14ac:dyDescent="0.25">
      <c r="A106" t="str">
        <f>T("   CA")</f>
        <v xml:space="preserve">   CA</v>
      </c>
      <c r="B106" t="str">
        <f>T("   Canada")</f>
        <v xml:space="preserve">   Canada</v>
      </c>
      <c r="C106">
        <v>240000</v>
      </c>
      <c r="D106">
        <v>16000</v>
      </c>
    </row>
    <row r="107" spans="1:4" x14ac:dyDescent="0.25">
      <c r="A107" t="str">
        <f>T("   FR")</f>
        <v xml:space="preserve">   FR</v>
      </c>
      <c r="B107" t="str">
        <f>T("   France")</f>
        <v xml:space="preserve">   France</v>
      </c>
      <c r="C107">
        <v>800280</v>
      </c>
      <c r="D107">
        <v>8720</v>
      </c>
    </row>
    <row r="108" spans="1:4" x14ac:dyDescent="0.25">
      <c r="A108" t="str">
        <f>T("   MA")</f>
        <v xml:space="preserve">   MA</v>
      </c>
      <c r="B108" t="str">
        <f>T("   Maroc")</f>
        <v xml:space="preserve">   Maroc</v>
      </c>
      <c r="C108">
        <v>16582300</v>
      </c>
      <c r="D108">
        <v>66000</v>
      </c>
    </row>
    <row r="109" spans="1:4" x14ac:dyDescent="0.25">
      <c r="A109" t="str">
        <f>T("100590")</f>
        <v>100590</v>
      </c>
      <c r="B109" t="str">
        <f>T("Maïs (autre que de semence)")</f>
        <v>Maïs (autre que de semence)</v>
      </c>
    </row>
    <row r="110" spans="1:4" x14ac:dyDescent="0.25">
      <c r="A110" t="str">
        <f>T("   ZZZ_Monde")</f>
        <v xml:space="preserve">   ZZZ_Monde</v>
      </c>
      <c r="B110" t="str">
        <f>T("   ZZZ_Monde")</f>
        <v xml:space="preserve">   ZZZ_Monde</v>
      </c>
      <c r="C110">
        <v>3730000</v>
      </c>
      <c r="D110">
        <v>37750</v>
      </c>
    </row>
    <row r="111" spans="1:4" x14ac:dyDescent="0.25">
      <c r="A111" t="str">
        <f>T("   CG")</f>
        <v xml:space="preserve">   CG</v>
      </c>
      <c r="B111" t="str">
        <f>T("   Congo (Brazzaville)")</f>
        <v xml:space="preserve">   Congo (Brazzaville)</v>
      </c>
      <c r="C111">
        <v>1000000</v>
      </c>
      <c r="D111">
        <v>5000</v>
      </c>
    </row>
    <row r="112" spans="1:4" x14ac:dyDescent="0.25">
      <c r="A112" t="str">
        <f>T("   CM")</f>
        <v xml:space="preserve">   CM</v>
      </c>
      <c r="B112" t="str">
        <f>T("   Cameroun")</f>
        <v xml:space="preserve">   Cameroun</v>
      </c>
      <c r="C112">
        <v>1350000</v>
      </c>
      <c r="D112">
        <v>18750</v>
      </c>
    </row>
    <row r="113" spans="1:4" x14ac:dyDescent="0.25">
      <c r="A113" t="str">
        <f>T("   GA")</f>
        <v xml:space="preserve">   GA</v>
      </c>
      <c r="B113" t="str">
        <f>T("   Gabon")</f>
        <v xml:space="preserve">   Gabon</v>
      </c>
      <c r="C113">
        <v>1380000</v>
      </c>
      <c r="D113">
        <v>14000</v>
      </c>
    </row>
    <row r="114" spans="1:4" x14ac:dyDescent="0.25">
      <c r="A114" t="str">
        <f>T("100610")</f>
        <v>100610</v>
      </c>
      <c r="B114" t="str">
        <f>T("Riz en paille [riz paddy]")</f>
        <v>Riz en paille [riz paddy]</v>
      </c>
    </row>
    <row r="115" spans="1:4" x14ac:dyDescent="0.25">
      <c r="A115" t="str">
        <f>T("   ZZZ_Monde")</f>
        <v xml:space="preserve">   ZZZ_Monde</v>
      </c>
      <c r="B115" t="str">
        <f>T("   ZZZ_Monde")</f>
        <v xml:space="preserve">   ZZZ_Monde</v>
      </c>
      <c r="C115">
        <v>1600000</v>
      </c>
      <c r="D115">
        <v>300</v>
      </c>
    </row>
    <row r="116" spans="1:4" x14ac:dyDescent="0.25">
      <c r="A116" t="str">
        <f>T("   GA")</f>
        <v xml:space="preserve">   GA</v>
      </c>
      <c r="B116" t="str">
        <f>T("   Gabon")</f>
        <v xml:space="preserve">   Gabon</v>
      </c>
      <c r="C116">
        <v>1600000</v>
      </c>
      <c r="D116">
        <v>300</v>
      </c>
    </row>
    <row r="117" spans="1:4" x14ac:dyDescent="0.25">
      <c r="A117" t="str">
        <f>T("100630")</f>
        <v>100630</v>
      </c>
      <c r="B117" t="str">
        <f>T("Riz semi-blanchi ou blanchi, même poli ou glacé")</f>
        <v>Riz semi-blanchi ou blanchi, même poli ou glacé</v>
      </c>
    </row>
    <row r="118" spans="1:4" x14ac:dyDescent="0.25">
      <c r="A118" t="str">
        <f>T("   ZZZ_Monde")</f>
        <v xml:space="preserve">   ZZZ_Monde</v>
      </c>
      <c r="B118" t="str">
        <f>T("   ZZZ_Monde")</f>
        <v xml:space="preserve">   ZZZ_Monde</v>
      </c>
      <c r="C118">
        <v>4318490000</v>
      </c>
      <c r="D118">
        <v>60110110</v>
      </c>
    </row>
    <row r="119" spans="1:4" x14ac:dyDescent="0.25">
      <c r="A119" t="str">
        <f>T("   NG")</f>
        <v xml:space="preserve">   NG</v>
      </c>
      <c r="B119" t="str">
        <f>T("   Nigéria")</f>
        <v xml:space="preserve">   Nigéria</v>
      </c>
      <c r="C119">
        <v>4318490000</v>
      </c>
      <c r="D119">
        <v>60110110</v>
      </c>
    </row>
    <row r="120" spans="1:4" x14ac:dyDescent="0.25">
      <c r="A120" t="str">
        <f>T("110100")</f>
        <v>110100</v>
      </c>
      <c r="B120" t="str">
        <f>T("Farines de froment [blé] ou de méteil")</f>
        <v>Farines de froment [blé] ou de méteil</v>
      </c>
    </row>
    <row r="121" spans="1:4" x14ac:dyDescent="0.25">
      <c r="A121" t="str">
        <f>T("   ZZZ_Monde")</f>
        <v xml:space="preserve">   ZZZ_Monde</v>
      </c>
      <c r="B121" t="str">
        <f>T("   ZZZ_Monde")</f>
        <v xml:space="preserve">   ZZZ_Monde</v>
      </c>
      <c r="C121">
        <v>89600000</v>
      </c>
      <c r="D121">
        <v>640000</v>
      </c>
    </row>
    <row r="122" spans="1:4" x14ac:dyDescent="0.25">
      <c r="A122" t="str">
        <f>T("   NE")</f>
        <v xml:space="preserve">   NE</v>
      </c>
      <c r="B122" t="str">
        <f>T("   Niger")</f>
        <v xml:space="preserve">   Niger</v>
      </c>
      <c r="C122">
        <v>89600000</v>
      </c>
      <c r="D122">
        <v>640000</v>
      </c>
    </row>
    <row r="123" spans="1:4" x14ac:dyDescent="0.25">
      <c r="A123" t="str">
        <f>T("110290")</f>
        <v>110290</v>
      </c>
      <c r="B123" t="str">
        <f>T("FARINES DE CÉRÉALES (À L'EXCL. DES FARINES DE FROMENT [BLÉ], DE MÉTEIL, DE SEIGLE ET DE MAÏS)")</f>
        <v>FARINES DE CÉRÉALES (À L'EXCL. DES FARINES DE FROMENT [BLÉ], DE MÉTEIL, DE SEIGLE ET DE MAÏS)</v>
      </c>
    </row>
    <row r="124" spans="1:4" x14ac:dyDescent="0.25">
      <c r="A124" t="str">
        <f>T("   ZZZ_Monde")</f>
        <v xml:space="preserve">   ZZZ_Monde</v>
      </c>
      <c r="B124" t="str">
        <f>T("   ZZZ_Monde")</f>
        <v xml:space="preserve">   ZZZ_Monde</v>
      </c>
      <c r="C124">
        <v>850000</v>
      </c>
      <c r="D124">
        <v>7500</v>
      </c>
    </row>
    <row r="125" spans="1:4" x14ac:dyDescent="0.25">
      <c r="A125" t="str">
        <f>T("   GA")</f>
        <v xml:space="preserve">   GA</v>
      </c>
      <c r="B125" t="str">
        <f>T("   Gabon")</f>
        <v xml:space="preserve">   Gabon</v>
      </c>
      <c r="C125">
        <v>850000</v>
      </c>
      <c r="D125">
        <v>7500</v>
      </c>
    </row>
    <row r="126" spans="1:4" x14ac:dyDescent="0.25">
      <c r="A126" t="str">
        <f>T("110419")</f>
        <v>110419</v>
      </c>
      <c r="B126" t="str">
        <f>T("GRAINS DE CÉRÉALES, APLATIS OU EN FLOCONS (À L'EXCL. DES GRAINS D'AVOINE)")</f>
        <v>GRAINS DE CÉRÉALES, APLATIS OU EN FLOCONS (À L'EXCL. DES GRAINS D'AVOINE)</v>
      </c>
    </row>
    <row r="127" spans="1:4" x14ac:dyDescent="0.25">
      <c r="A127" t="str">
        <f>T("   ZZZ_Monde")</f>
        <v xml:space="preserve">   ZZZ_Monde</v>
      </c>
      <c r="B127" t="str">
        <f>T("   ZZZ_Monde")</f>
        <v xml:space="preserve">   ZZZ_Monde</v>
      </c>
      <c r="C127">
        <v>1000000</v>
      </c>
      <c r="D127">
        <v>10000</v>
      </c>
    </row>
    <row r="128" spans="1:4" x14ac:dyDescent="0.25">
      <c r="A128" t="str">
        <f>T("   CG")</f>
        <v xml:space="preserve">   CG</v>
      </c>
      <c r="B128" t="str">
        <f>T("   Congo (Brazzaville)")</f>
        <v xml:space="preserve">   Congo (Brazzaville)</v>
      </c>
      <c r="C128">
        <v>1000000</v>
      </c>
      <c r="D128">
        <v>10000</v>
      </c>
    </row>
    <row r="129" spans="1:4" x14ac:dyDescent="0.25">
      <c r="A129" t="str">
        <f>T("110423")</f>
        <v>110423</v>
      </c>
      <c r="B129" t="str">
        <f>T("Grains de maïs, mondés, perlés, tranchés, concassés ou autrement travaillés (à l'excl. de la farine de maïs)")</f>
        <v>Grains de maïs, mondés, perlés, tranchés, concassés ou autrement travaillés (à l'excl. de la farine de maïs)</v>
      </c>
    </row>
    <row r="130" spans="1:4" x14ac:dyDescent="0.25">
      <c r="A130" t="str">
        <f>T("   ZZZ_Monde")</f>
        <v xml:space="preserve">   ZZZ_Monde</v>
      </c>
      <c r="B130" t="str">
        <f>T("   ZZZ_Monde")</f>
        <v xml:space="preserve">   ZZZ_Monde</v>
      </c>
      <c r="C130">
        <v>110085000</v>
      </c>
      <c r="D130">
        <v>350000</v>
      </c>
    </row>
    <row r="131" spans="1:4" x14ac:dyDescent="0.25">
      <c r="A131" t="str">
        <f>T("   BF")</f>
        <v xml:space="preserve">   BF</v>
      </c>
      <c r="B131" t="str">
        <f>T("   Burkina Faso")</f>
        <v xml:space="preserve">   Burkina Faso</v>
      </c>
      <c r="C131">
        <v>19945000</v>
      </c>
      <c r="D131">
        <v>70000</v>
      </c>
    </row>
    <row r="132" spans="1:4" x14ac:dyDescent="0.25">
      <c r="A132" t="str">
        <f>T("   NE")</f>
        <v xml:space="preserve">   NE</v>
      </c>
      <c r="B132" t="str">
        <f>T("   Niger")</f>
        <v xml:space="preserve">   Niger</v>
      </c>
      <c r="C132">
        <v>90140000</v>
      </c>
      <c r="D132">
        <v>280000</v>
      </c>
    </row>
    <row r="133" spans="1:4" x14ac:dyDescent="0.25">
      <c r="A133" t="str">
        <f>T("110620")</f>
        <v>110620</v>
      </c>
      <c r="B133" t="str">
        <f>T("Farines, semoules et poudres de sagou ou des racines ou tubercules du n° 0714")</f>
        <v>Farines, semoules et poudres de sagou ou des racines ou tubercules du n° 0714</v>
      </c>
    </row>
    <row r="134" spans="1:4" x14ac:dyDescent="0.25">
      <c r="A134" t="str">
        <f>T("   ZZZ_Monde")</f>
        <v xml:space="preserve">   ZZZ_Monde</v>
      </c>
      <c r="B134" t="str">
        <f>T("   ZZZ_Monde")</f>
        <v xml:space="preserve">   ZZZ_Monde</v>
      </c>
      <c r="C134">
        <v>44531236</v>
      </c>
      <c r="D134">
        <v>211896</v>
      </c>
    </row>
    <row r="135" spans="1:4" x14ac:dyDescent="0.25">
      <c r="A135" t="str">
        <f>T("   CD")</f>
        <v xml:space="preserve">   CD</v>
      </c>
      <c r="B135" t="str">
        <f>T("   Congo, République Démocratique")</f>
        <v xml:space="preserve">   Congo, République Démocratique</v>
      </c>
      <c r="C135">
        <v>2270000</v>
      </c>
      <c r="D135">
        <v>15800</v>
      </c>
    </row>
    <row r="136" spans="1:4" x14ac:dyDescent="0.25">
      <c r="A136" t="str">
        <f>T("   CG")</f>
        <v xml:space="preserve">   CG</v>
      </c>
      <c r="B136" t="str">
        <f>T("   Congo (Brazzaville)")</f>
        <v xml:space="preserve">   Congo (Brazzaville)</v>
      </c>
      <c r="C136">
        <v>3057000</v>
      </c>
      <c r="D136">
        <v>19200</v>
      </c>
    </row>
    <row r="137" spans="1:4" x14ac:dyDescent="0.25">
      <c r="A137" t="str">
        <f>T("   FR")</f>
        <v xml:space="preserve">   FR</v>
      </c>
      <c r="B137" t="str">
        <f>T("   France")</f>
        <v xml:space="preserve">   France</v>
      </c>
      <c r="C137">
        <v>19754236</v>
      </c>
      <c r="D137">
        <v>21121</v>
      </c>
    </row>
    <row r="138" spans="1:4" x14ac:dyDescent="0.25">
      <c r="A138" t="str">
        <f>T("   GA")</f>
        <v xml:space="preserve">   GA</v>
      </c>
      <c r="B138" t="str">
        <f>T("   Gabon")</f>
        <v xml:space="preserve">   Gabon</v>
      </c>
      <c r="C138">
        <v>15400000</v>
      </c>
      <c r="D138">
        <v>141775</v>
      </c>
    </row>
    <row r="139" spans="1:4" x14ac:dyDescent="0.25">
      <c r="A139" t="str">
        <f>T("   GQ")</f>
        <v xml:space="preserve">   GQ</v>
      </c>
      <c r="B139" t="str">
        <f>T("   Guinée Equatoriale")</f>
        <v xml:space="preserve">   Guinée Equatoriale</v>
      </c>
      <c r="C139">
        <v>150000</v>
      </c>
      <c r="D139">
        <v>1000</v>
      </c>
    </row>
    <row r="140" spans="1:4" x14ac:dyDescent="0.25">
      <c r="A140" t="str">
        <f>T("   SN")</f>
        <v xml:space="preserve">   SN</v>
      </c>
      <c r="B140" t="str">
        <f>T("   Sénégal")</f>
        <v xml:space="preserve">   Sénégal</v>
      </c>
      <c r="C140">
        <v>3900000</v>
      </c>
      <c r="D140">
        <v>13000</v>
      </c>
    </row>
    <row r="141" spans="1:4" x14ac:dyDescent="0.25">
      <c r="A141" t="str">
        <f>T("120100")</f>
        <v>120100</v>
      </c>
      <c r="B141" t="str">
        <f>T("Fèves de soja, même concassées")</f>
        <v>Fèves de soja, même concassées</v>
      </c>
    </row>
    <row r="142" spans="1:4" x14ac:dyDescent="0.25">
      <c r="A142" t="str">
        <f>T("   ZZZ_Monde")</f>
        <v xml:space="preserve">   ZZZ_Monde</v>
      </c>
      <c r="B142" t="str">
        <f>T("   ZZZ_Monde")</f>
        <v xml:space="preserve">   ZZZ_Monde</v>
      </c>
      <c r="C142">
        <v>3000000</v>
      </c>
      <c r="D142">
        <v>20000</v>
      </c>
    </row>
    <row r="143" spans="1:4" x14ac:dyDescent="0.25">
      <c r="A143" t="str">
        <f>T("   GH")</f>
        <v xml:space="preserve">   GH</v>
      </c>
      <c r="B143" t="str">
        <f>T("   Ghana")</f>
        <v xml:space="preserve">   Ghana</v>
      </c>
      <c r="C143">
        <v>3000000</v>
      </c>
      <c r="D143">
        <v>20000</v>
      </c>
    </row>
    <row r="144" spans="1:4" x14ac:dyDescent="0.25">
      <c r="A144" t="str">
        <f>T("120710")</f>
        <v>120710</v>
      </c>
      <c r="B144" t="str">
        <f>T("NOIX ET AMANDES DE PALMISTES")</f>
        <v>NOIX ET AMANDES DE PALMISTES</v>
      </c>
    </row>
    <row r="145" spans="1:4" x14ac:dyDescent="0.25">
      <c r="A145" t="str">
        <f>T("   ZZZ_Monde")</f>
        <v xml:space="preserve">   ZZZ_Monde</v>
      </c>
      <c r="B145" t="str">
        <f>T("   ZZZ_Monde")</f>
        <v xml:space="preserve">   ZZZ_Monde</v>
      </c>
      <c r="C145">
        <v>1102854984</v>
      </c>
      <c r="D145">
        <v>118061</v>
      </c>
    </row>
    <row r="146" spans="1:4" x14ac:dyDescent="0.25">
      <c r="A146" t="str">
        <f>T("   BE")</f>
        <v xml:space="preserve">   BE</v>
      </c>
      <c r="B146" t="str">
        <f>T("   Belgique")</f>
        <v xml:space="preserve">   Belgique</v>
      </c>
      <c r="C146">
        <v>12397588</v>
      </c>
      <c r="D146">
        <v>112</v>
      </c>
    </row>
    <row r="147" spans="1:4" x14ac:dyDescent="0.25">
      <c r="A147" t="str">
        <f>T("   BI")</f>
        <v xml:space="preserve">   BI</v>
      </c>
      <c r="B147" t="str">
        <f>T("   Burundi")</f>
        <v xml:space="preserve">   Burundi</v>
      </c>
      <c r="C147">
        <v>39488611</v>
      </c>
      <c r="D147">
        <v>349</v>
      </c>
    </row>
    <row r="148" spans="1:4" x14ac:dyDescent="0.25">
      <c r="A148" t="str">
        <f>T("   CD")</f>
        <v xml:space="preserve">   CD</v>
      </c>
      <c r="B148" t="str">
        <f>T("   Congo, République Démocratique")</f>
        <v xml:space="preserve">   Congo, République Démocratique</v>
      </c>
      <c r="C148">
        <v>70252997</v>
      </c>
      <c r="D148">
        <v>616</v>
      </c>
    </row>
    <row r="149" spans="1:4" x14ac:dyDescent="0.25">
      <c r="A149" t="str">
        <f>T("   CG")</f>
        <v xml:space="preserve">   CG</v>
      </c>
      <c r="B149" t="str">
        <f>T("   Congo (Brazzaville)")</f>
        <v xml:space="preserve">   Congo (Brazzaville)</v>
      </c>
      <c r="C149">
        <v>76746969</v>
      </c>
      <c r="D149">
        <v>672</v>
      </c>
    </row>
    <row r="150" spans="1:4" x14ac:dyDescent="0.25">
      <c r="A150" t="str">
        <f>T("   CN")</f>
        <v xml:space="preserve">   CN</v>
      </c>
      <c r="B150" t="str">
        <f>T("   Chine")</f>
        <v xml:space="preserve">   Chine</v>
      </c>
      <c r="C150">
        <v>1800000</v>
      </c>
      <c r="D150">
        <v>12000</v>
      </c>
    </row>
    <row r="151" spans="1:4" x14ac:dyDescent="0.25">
      <c r="A151" t="str">
        <f>T("   CO")</f>
        <v xml:space="preserve">   CO</v>
      </c>
      <c r="B151" t="str">
        <f>T("   Colombie")</f>
        <v xml:space="preserve">   Colombie</v>
      </c>
      <c r="C151">
        <v>19879901</v>
      </c>
      <c r="D151">
        <v>59</v>
      </c>
    </row>
    <row r="152" spans="1:4" x14ac:dyDescent="0.25">
      <c r="A152" t="str">
        <f>T("   EC")</f>
        <v xml:space="preserve">   EC</v>
      </c>
      <c r="B152" t="str">
        <f>T("   Equateur")</f>
        <v xml:space="preserve">   Equateur</v>
      </c>
      <c r="C152">
        <v>60000</v>
      </c>
      <c r="D152">
        <v>254</v>
      </c>
    </row>
    <row r="153" spans="1:4" x14ac:dyDescent="0.25">
      <c r="A153" t="str">
        <f>T("   GH")</f>
        <v xml:space="preserve">   GH</v>
      </c>
      <c r="B153" t="str">
        <f>T("   Ghana")</f>
        <v xml:space="preserve">   Ghana</v>
      </c>
      <c r="C153">
        <v>43293162</v>
      </c>
      <c r="D153">
        <v>525</v>
      </c>
    </row>
    <row r="154" spans="1:4" x14ac:dyDescent="0.25">
      <c r="A154" t="str">
        <f>T("   GW")</f>
        <v xml:space="preserve">   GW</v>
      </c>
      <c r="B154" t="str">
        <f>T("   Guinée-Bissau")</f>
        <v xml:space="preserve">   Guinée-Bissau</v>
      </c>
      <c r="C154">
        <v>27550194</v>
      </c>
      <c r="D154">
        <v>275</v>
      </c>
    </row>
    <row r="155" spans="1:4" x14ac:dyDescent="0.25">
      <c r="A155" t="str">
        <f>T("   HK")</f>
        <v xml:space="preserve">   HK</v>
      </c>
      <c r="B155" t="str">
        <f>T("   Hong-Kong")</f>
        <v xml:space="preserve">   Hong-Kong</v>
      </c>
      <c r="C155">
        <v>1800000</v>
      </c>
      <c r="D155">
        <v>12000</v>
      </c>
    </row>
    <row r="156" spans="1:4" x14ac:dyDescent="0.25">
      <c r="A156" t="str">
        <f>T("   IN")</f>
        <v xml:space="preserve">   IN</v>
      </c>
      <c r="B156" t="str">
        <f>T("   Inde")</f>
        <v xml:space="preserve">   Inde</v>
      </c>
      <c r="C156">
        <v>131531615</v>
      </c>
      <c r="D156">
        <v>22374</v>
      </c>
    </row>
    <row r="157" spans="1:4" x14ac:dyDescent="0.25">
      <c r="A157" t="str">
        <f>T("   LR")</f>
        <v xml:space="preserve">   LR</v>
      </c>
      <c r="B157" t="str">
        <f>T("   Libéria")</f>
        <v xml:space="preserve">   Libéria</v>
      </c>
      <c r="C157">
        <v>486982479</v>
      </c>
      <c r="D157">
        <v>4165</v>
      </c>
    </row>
    <row r="158" spans="1:4" x14ac:dyDescent="0.25">
      <c r="A158" t="str">
        <f>T("   MG")</f>
        <v xml:space="preserve">   MG</v>
      </c>
      <c r="B158" t="str">
        <f>T("   Madagascar")</f>
        <v xml:space="preserve">   Madagascar</v>
      </c>
      <c r="C158">
        <v>43293162</v>
      </c>
      <c r="D158">
        <v>525</v>
      </c>
    </row>
    <row r="159" spans="1:4" x14ac:dyDescent="0.25">
      <c r="A159" t="str">
        <f>T("   SL")</f>
        <v xml:space="preserve">   SL</v>
      </c>
      <c r="B159" t="str">
        <f>T("   Sierra Leone")</f>
        <v xml:space="preserve">   Sierra Leone</v>
      </c>
      <c r="C159">
        <v>45261033</v>
      </c>
      <c r="D159">
        <v>392</v>
      </c>
    </row>
    <row r="160" spans="1:4" x14ac:dyDescent="0.25">
      <c r="A160" t="str">
        <f>T("   TH")</f>
        <v xml:space="preserve">   TH</v>
      </c>
      <c r="B160" t="str">
        <f>T("   Thaïlande")</f>
        <v xml:space="preserve">   Thaïlande</v>
      </c>
      <c r="C160">
        <v>102497273</v>
      </c>
      <c r="D160">
        <v>63742</v>
      </c>
    </row>
    <row r="161" spans="1:4" x14ac:dyDescent="0.25">
      <c r="A161" t="str">
        <f>T("   TK")</f>
        <v xml:space="preserve">   TK</v>
      </c>
      <c r="B161" t="str">
        <f>T("   Tokelau")</f>
        <v xml:space="preserve">   Tokelau</v>
      </c>
      <c r="C161">
        <v>20000</v>
      </c>
      <c r="D161">
        <v>1</v>
      </c>
    </row>
    <row r="162" spans="1:4" x14ac:dyDescent="0.25">
      <c r="A162" t="str">
        <f>T("120740")</f>
        <v>120740</v>
      </c>
      <c r="B162" t="str">
        <f>T("Graines de sésame, même concassées")</f>
        <v>Graines de sésame, même concassées</v>
      </c>
    </row>
    <row r="163" spans="1:4" x14ac:dyDescent="0.25">
      <c r="A163" t="str">
        <f>T("   ZZZ_Monde")</f>
        <v xml:space="preserve">   ZZZ_Monde</v>
      </c>
      <c r="B163" t="str">
        <f>T("   ZZZ_Monde")</f>
        <v xml:space="preserve">   ZZZ_Monde</v>
      </c>
      <c r="C163">
        <v>125172116</v>
      </c>
      <c r="D163">
        <v>226654</v>
      </c>
    </row>
    <row r="164" spans="1:4" x14ac:dyDescent="0.25">
      <c r="A164" t="str">
        <f>T("   CN")</f>
        <v xml:space="preserve">   CN</v>
      </c>
      <c r="B164" t="str">
        <f>T("   Chine")</f>
        <v xml:space="preserve">   Chine</v>
      </c>
      <c r="C164">
        <v>125172116</v>
      </c>
      <c r="D164">
        <v>226654</v>
      </c>
    </row>
    <row r="165" spans="1:4" x14ac:dyDescent="0.25">
      <c r="A165" t="str">
        <f>T("120799")</f>
        <v>120799</v>
      </c>
      <c r="B165" t="str">
        <f>T("GRAINES ET FRUITS OLÉAGINEUX, MÊME CONCASSÉS (À L'EXCL. DES FRUITS À COQUE COMESTIBLES, DES OLIVES, DES FÈVES DE SOJA, DES ARACHIDES, DU COPRAH ET DES GRAINES DE LIN, DE NAVETTE, DE COLZA, DE TOURNESOL, DE COTON, DE SÉSAME, DE MOUTARDE, D'OEILLETTE OU DE")</f>
        <v>GRAINES ET FRUITS OLÉAGINEUX, MÊME CONCASSÉS (À L'EXCL. DES FRUITS À COQUE COMESTIBLES, DES OLIVES, DES FÈVES DE SOJA, DES ARACHIDES, DU COPRAH ET DES GRAINES DE LIN, DE NAVETTE, DE COLZA, DE TOURNESOL, DE COTON, DE SÉSAME, DE MOUTARDE, D'OEILLETTE OU DE</v>
      </c>
    </row>
    <row r="166" spans="1:4" x14ac:dyDescent="0.25">
      <c r="A166" t="str">
        <f>T("   ZZZ_Monde")</f>
        <v xml:space="preserve">   ZZZ_Monde</v>
      </c>
      <c r="B166" t="str">
        <f>T("   ZZZ_Monde")</f>
        <v xml:space="preserve">   ZZZ_Monde</v>
      </c>
      <c r="C166">
        <v>300258875</v>
      </c>
      <c r="D166">
        <v>1367857</v>
      </c>
    </row>
    <row r="167" spans="1:4" x14ac:dyDescent="0.25">
      <c r="A167" t="str">
        <f>T("   FR")</f>
        <v xml:space="preserve">   FR</v>
      </c>
      <c r="B167" t="str">
        <f>T("   France")</f>
        <v xml:space="preserve">   France</v>
      </c>
      <c r="C167">
        <v>49795315</v>
      </c>
      <c r="D167">
        <v>159815</v>
      </c>
    </row>
    <row r="168" spans="1:4" x14ac:dyDescent="0.25">
      <c r="A168" t="str">
        <f>T("   IN")</f>
        <v xml:space="preserve">   IN</v>
      </c>
      <c r="B168" t="str">
        <f>T("   Inde")</f>
        <v xml:space="preserve">   Inde</v>
      </c>
      <c r="C168">
        <v>237463560</v>
      </c>
      <c r="D168">
        <v>1098042</v>
      </c>
    </row>
    <row r="169" spans="1:4" x14ac:dyDescent="0.25">
      <c r="A169" t="str">
        <f>T("   TG")</f>
        <v xml:space="preserve">   TG</v>
      </c>
      <c r="B169" t="str">
        <f>T("   Togo")</f>
        <v xml:space="preserve">   Togo</v>
      </c>
      <c r="C169">
        <v>3000000</v>
      </c>
      <c r="D169">
        <v>60000</v>
      </c>
    </row>
    <row r="170" spans="1:4" x14ac:dyDescent="0.25">
      <c r="A170" t="str">
        <f>T("   VN")</f>
        <v xml:space="preserve">   VN</v>
      </c>
      <c r="B170" t="str">
        <f>T("   Vietnam")</f>
        <v xml:space="preserve">   Vietnam</v>
      </c>
      <c r="C170">
        <v>10000000</v>
      </c>
      <c r="D170">
        <v>50000</v>
      </c>
    </row>
    <row r="171" spans="1:4" x14ac:dyDescent="0.25">
      <c r="A171" t="str">
        <f>T("121299")</f>
        <v>121299</v>
      </c>
      <c r="B171" t="str">
        <f>T("NOYAUX ET AMANDES DE FRUITS ET AUTRES PRODUITS VÉGÉTAUX - Y.C. LES RACINES DE CHICORÉE NON-TORRÉFIÉES DE LA VARIÉTÉ 'CICHORIUM INTYBUS SATIVUM' -, SERVANT PRINCIPALEMENT À L'ALIMENTATION HUMAINE, N.D.A.")</f>
        <v>NOYAUX ET AMANDES DE FRUITS ET AUTRES PRODUITS VÉGÉTAUX - Y.C. LES RACINES DE CHICORÉE NON-TORRÉFIÉES DE LA VARIÉTÉ 'CICHORIUM INTYBUS SATIVUM' -, SERVANT PRINCIPALEMENT À L'ALIMENTATION HUMAINE, N.D.A.</v>
      </c>
    </row>
    <row r="172" spans="1:4" x14ac:dyDescent="0.25">
      <c r="A172" t="str">
        <f>T("   ZZZ_Monde")</f>
        <v xml:space="preserve">   ZZZ_Monde</v>
      </c>
      <c r="B172" t="str">
        <f>T("   ZZZ_Monde")</f>
        <v xml:space="preserve">   ZZZ_Monde</v>
      </c>
      <c r="C172">
        <v>47070000</v>
      </c>
      <c r="D172">
        <v>169300</v>
      </c>
    </row>
    <row r="173" spans="1:4" x14ac:dyDescent="0.25">
      <c r="A173" t="str">
        <f>T("   ES")</f>
        <v xml:space="preserve">   ES</v>
      </c>
      <c r="B173" t="str">
        <f>T("   Espagne")</f>
        <v xml:space="preserve">   Espagne</v>
      </c>
      <c r="C173">
        <v>47070000</v>
      </c>
      <c r="D173">
        <v>169300</v>
      </c>
    </row>
    <row r="174" spans="1:4" x14ac:dyDescent="0.25">
      <c r="A174" t="str">
        <f>T("130120")</f>
        <v>130120</v>
      </c>
      <c r="B174" t="str">
        <f>T("Gomme arabique")</f>
        <v>Gomme arabique</v>
      </c>
    </row>
    <row r="175" spans="1:4" x14ac:dyDescent="0.25">
      <c r="A175" t="str">
        <f>T("   ZZZ_Monde")</f>
        <v xml:space="preserve">   ZZZ_Monde</v>
      </c>
      <c r="B175" t="str">
        <f>T("   ZZZ_Monde")</f>
        <v xml:space="preserve">   ZZZ_Monde</v>
      </c>
      <c r="C175">
        <v>4700000</v>
      </c>
      <c r="D175">
        <v>22000</v>
      </c>
    </row>
    <row r="176" spans="1:4" x14ac:dyDescent="0.25">
      <c r="A176" t="str">
        <f>T("   FR")</f>
        <v xml:space="preserve">   FR</v>
      </c>
      <c r="B176" t="str">
        <f>T("   France")</f>
        <v xml:space="preserve">   France</v>
      </c>
      <c r="C176">
        <v>4700000</v>
      </c>
      <c r="D176">
        <v>22000</v>
      </c>
    </row>
    <row r="177" spans="1:4" x14ac:dyDescent="0.25">
      <c r="A177" t="str">
        <f>T("130213")</f>
        <v>130213</v>
      </c>
      <c r="B177" t="str">
        <f>T("Extraits de houblon")</f>
        <v>Extraits de houblon</v>
      </c>
    </row>
    <row r="178" spans="1:4" x14ac:dyDescent="0.25">
      <c r="A178" t="str">
        <f>T("   ZZZ_Monde")</f>
        <v xml:space="preserve">   ZZZ_Monde</v>
      </c>
      <c r="B178" t="str">
        <f>T("   ZZZ_Monde")</f>
        <v xml:space="preserve">   ZZZ_Monde</v>
      </c>
      <c r="C178">
        <v>13457187</v>
      </c>
      <c r="D178">
        <v>795</v>
      </c>
    </row>
    <row r="179" spans="1:4" x14ac:dyDescent="0.25">
      <c r="A179" t="str">
        <f>T("   TG")</f>
        <v xml:space="preserve">   TG</v>
      </c>
      <c r="B179" t="str">
        <f>T("   Togo")</f>
        <v xml:space="preserve">   Togo</v>
      </c>
      <c r="C179">
        <v>13457187</v>
      </c>
      <c r="D179">
        <v>795</v>
      </c>
    </row>
    <row r="180" spans="1:4" x14ac:dyDescent="0.25">
      <c r="A180" t="str">
        <f>T("140420")</f>
        <v>140420</v>
      </c>
      <c r="B180" t="str">
        <f>T("Linters de coton")</f>
        <v>Linters de coton</v>
      </c>
    </row>
    <row r="181" spans="1:4" x14ac:dyDescent="0.25">
      <c r="A181" t="str">
        <f>T("   ZZZ_Monde")</f>
        <v xml:space="preserve">   ZZZ_Monde</v>
      </c>
      <c r="B181" t="str">
        <f>T("   ZZZ_Monde")</f>
        <v xml:space="preserve">   ZZZ_Monde</v>
      </c>
      <c r="C181">
        <v>508740253</v>
      </c>
      <c r="D181">
        <v>923493</v>
      </c>
    </row>
    <row r="182" spans="1:4" x14ac:dyDescent="0.25">
      <c r="A182" t="str">
        <f>T("   CN")</f>
        <v xml:space="preserve">   CN</v>
      </c>
      <c r="B182" t="str">
        <f>T("   Chine")</f>
        <v xml:space="preserve">   Chine</v>
      </c>
      <c r="C182">
        <v>508740253</v>
      </c>
      <c r="D182">
        <v>923493</v>
      </c>
    </row>
    <row r="183" spans="1:4" x14ac:dyDescent="0.25">
      <c r="A183" t="str">
        <f>T("151110")</f>
        <v>151110</v>
      </c>
      <c r="B183" t="str">
        <f>T("Huile de palme, brute")</f>
        <v>Huile de palme, brute</v>
      </c>
    </row>
    <row r="184" spans="1:4" x14ac:dyDescent="0.25">
      <c r="A184" t="str">
        <f>T("   ZZZ_Monde")</f>
        <v xml:space="preserve">   ZZZ_Monde</v>
      </c>
      <c r="B184" t="str">
        <f>T("   ZZZ_Monde")</f>
        <v xml:space="preserve">   ZZZ_Monde</v>
      </c>
      <c r="C184">
        <v>257830309</v>
      </c>
      <c r="D184">
        <v>394780</v>
      </c>
    </row>
    <row r="185" spans="1:4" x14ac:dyDescent="0.25">
      <c r="A185" t="str">
        <f>T("   IT")</f>
        <v xml:space="preserve">   IT</v>
      </c>
      <c r="B185" t="str">
        <f>T("   Italie")</f>
        <v xml:space="preserve">   Italie</v>
      </c>
      <c r="C185">
        <v>257710309</v>
      </c>
      <c r="D185">
        <v>394380</v>
      </c>
    </row>
    <row r="186" spans="1:4" x14ac:dyDescent="0.25">
      <c r="A186" t="str">
        <f>T("   SN")</f>
        <v xml:space="preserve">   SN</v>
      </c>
      <c r="B186" t="str">
        <f>T("   Sénégal")</f>
        <v xml:space="preserve">   Sénégal</v>
      </c>
      <c r="C186">
        <v>120000</v>
      </c>
      <c r="D186">
        <v>400</v>
      </c>
    </row>
    <row r="187" spans="1:4" x14ac:dyDescent="0.25">
      <c r="A187" t="str">
        <f>T("151190")</f>
        <v>151190</v>
      </c>
      <c r="B187" t="str">
        <f>T("Huile de palme et ses fractions, même raffinées, mais non chimiquement modifiées (à l'excl. de l'huile de palme brute)")</f>
        <v>Huile de palme et ses fractions, même raffinées, mais non chimiquement modifiées (à l'excl. de l'huile de palme brute)</v>
      </c>
    </row>
    <row r="188" spans="1:4" x14ac:dyDescent="0.25">
      <c r="A188" t="str">
        <f>T("   ZZZ_Monde")</f>
        <v xml:space="preserve">   ZZZ_Monde</v>
      </c>
      <c r="B188" t="str">
        <f>T("   ZZZ_Monde")</f>
        <v xml:space="preserve">   ZZZ_Monde</v>
      </c>
      <c r="C188">
        <v>701116068</v>
      </c>
      <c r="D188">
        <v>1030880</v>
      </c>
    </row>
    <row r="189" spans="1:4" x14ac:dyDescent="0.25">
      <c r="A189" t="str">
        <f>T("   MY")</f>
        <v xml:space="preserve">   MY</v>
      </c>
      <c r="B189" t="str">
        <f>T("   Malaisie")</f>
        <v xml:space="preserve">   Malaisie</v>
      </c>
      <c r="C189">
        <v>21428335</v>
      </c>
      <c r="D189">
        <v>40092</v>
      </c>
    </row>
    <row r="190" spans="1:4" x14ac:dyDescent="0.25">
      <c r="A190" t="str">
        <f>T("   NG")</f>
        <v xml:space="preserve">   NG</v>
      </c>
      <c r="B190" t="str">
        <f>T("   Nigéria")</f>
        <v xml:space="preserve">   Nigéria</v>
      </c>
      <c r="C190">
        <v>510609200</v>
      </c>
      <c r="D190">
        <v>709700</v>
      </c>
    </row>
    <row r="191" spans="1:4" x14ac:dyDescent="0.25">
      <c r="A191" t="str">
        <f>T("   NL")</f>
        <v xml:space="preserve">   NL</v>
      </c>
      <c r="B191" t="str">
        <f>T("   Pays-bas")</f>
        <v xml:space="preserve">   Pays-bas</v>
      </c>
      <c r="C191">
        <v>169078533</v>
      </c>
      <c r="D191">
        <v>281088</v>
      </c>
    </row>
    <row r="192" spans="1:4" x14ac:dyDescent="0.25">
      <c r="A192" t="str">
        <f>T("151219")</f>
        <v>151219</v>
      </c>
      <c r="B192" t="str">
        <f>T("Huiles de tournesol ou de carthame et leurs fractions, même raffinées, mais non chimiquement modifiées (à l'excl. des huiles brutes)")</f>
        <v>Huiles de tournesol ou de carthame et leurs fractions, même raffinées, mais non chimiquement modifiées (à l'excl. des huiles brutes)</v>
      </c>
    </row>
    <row r="193" spans="1:4" x14ac:dyDescent="0.25">
      <c r="A193" t="str">
        <f>T("   ZZZ_Monde")</f>
        <v xml:space="preserve">   ZZZ_Monde</v>
      </c>
      <c r="B193" t="str">
        <f>T("   ZZZ_Monde")</f>
        <v xml:space="preserve">   ZZZ_Monde</v>
      </c>
      <c r="C193">
        <v>47340500</v>
      </c>
      <c r="D193">
        <v>65980</v>
      </c>
    </row>
    <row r="194" spans="1:4" x14ac:dyDescent="0.25">
      <c r="A194" t="str">
        <f>T("   NG")</f>
        <v xml:space="preserve">   NG</v>
      </c>
      <c r="B194" t="str">
        <f>T("   Nigéria")</f>
        <v xml:space="preserve">   Nigéria</v>
      </c>
      <c r="C194">
        <v>47340500</v>
      </c>
      <c r="D194">
        <v>65980</v>
      </c>
    </row>
    <row r="195" spans="1:4" x14ac:dyDescent="0.25">
      <c r="A195" t="str">
        <f>T("151229")</f>
        <v>151229</v>
      </c>
      <c r="B195" t="str">
        <f>T("Huile de coton et ses fractions, même dépourvues de gossipol ou raffinées, mais non chimiquement modifiées (à l'excl. de l'huile de coton brute)")</f>
        <v>Huile de coton et ses fractions, même dépourvues de gossipol ou raffinées, mais non chimiquement modifiées (à l'excl. de l'huile de coton brute)</v>
      </c>
    </row>
    <row r="196" spans="1:4" x14ac:dyDescent="0.25">
      <c r="A196" t="str">
        <f>T("   ZZZ_Monde")</f>
        <v xml:space="preserve">   ZZZ_Monde</v>
      </c>
      <c r="B196" t="str">
        <f>T("   ZZZ_Monde")</f>
        <v xml:space="preserve">   ZZZ_Monde</v>
      </c>
      <c r="C196">
        <v>4247924447</v>
      </c>
      <c r="D196">
        <v>5815830</v>
      </c>
    </row>
    <row r="197" spans="1:4" x14ac:dyDescent="0.25">
      <c r="A197" t="str">
        <f>T("   NG")</f>
        <v xml:space="preserve">   NG</v>
      </c>
      <c r="B197" t="str">
        <f>T("   Nigéria")</f>
        <v xml:space="preserve">   Nigéria</v>
      </c>
      <c r="C197">
        <v>4235606240</v>
      </c>
      <c r="D197">
        <v>5796370</v>
      </c>
    </row>
    <row r="198" spans="1:4" x14ac:dyDescent="0.25">
      <c r="A198" t="str">
        <f>T("   NL")</f>
        <v xml:space="preserve">   NL</v>
      </c>
      <c r="B198" t="str">
        <f>T("   Pays-bas")</f>
        <v xml:space="preserve">   Pays-bas</v>
      </c>
      <c r="C198">
        <v>12318207</v>
      </c>
      <c r="D198">
        <v>19460</v>
      </c>
    </row>
    <row r="199" spans="1:4" x14ac:dyDescent="0.25">
      <c r="A199" t="str">
        <f>T("151590")</f>
        <v>151590</v>
      </c>
      <c r="B199" t="str">
        <f>T("Graisses et huiles végétales et leurs fractions, fixes, même raffinées, mais non chimiquement modifiées (à l'excl. des huiles de soja, d'arachide, d'olive, de palme, de tournesol, de carthame, de coton, de coco [coprah], de palmiste, de babassu, de navett")</f>
        <v>Graisses et huiles végétales et leurs fractions, fixes, même raffinées, mais non chimiquement modifiées (à l'excl. des huiles de soja, d'arachide, d'olive, de palme, de tournesol, de carthame, de coton, de coco [coprah], de palmiste, de babassu, de navett</v>
      </c>
    </row>
    <row r="200" spans="1:4" x14ac:dyDescent="0.25">
      <c r="A200" t="str">
        <f>T("   ZZZ_Monde")</f>
        <v xml:space="preserve">   ZZZ_Monde</v>
      </c>
      <c r="B200" t="str">
        <f>T("   ZZZ_Monde")</f>
        <v xml:space="preserve">   ZZZ_Monde</v>
      </c>
      <c r="C200">
        <v>1629115673</v>
      </c>
      <c r="D200">
        <v>3479547</v>
      </c>
    </row>
    <row r="201" spans="1:4" x14ac:dyDescent="0.25">
      <c r="A201" t="str">
        <f>T("   FR")</f>
        <v xml:space="preserve">   FR</v>
      </c>
      <c r="B201" t="str">
        <f>T("   France")</f>
        <v xml:space="preserve">   France</v>
      </c>
      <c r="C201">
        <v>10339897</v>
      </c>
      <c r="D201">
        <v>4225</v>
      </c>
    </row>
    <row r="202" spans="1:4" x14ac:dyDescent="0.25">
      <c r="A202" t="str">
        <f>T("   IN")</f>
        <v xml:space="preserve">   IN</v>
      </c>
      <c r="B202" t="str">
        <f>T("   Inde")</f>
        <v xml:space="preserve">   Inde</v>
      </c>
      <c r="C202">
        <v>1658072</v>
      </c>
      <c r="D202">
        <v>69194</v>
      </c>
    </row>
    <row r="203" spans="1:4" x14ac:dyDescent="0.25">
      <c r="A203" t="str">
        <f>T("   MY")</f>
        <v xml:space="preserve">   MY</v>
      </c>
      <c r="B203" t="str">
        <f>T("   Malaisie")</f>
        <v xml:space="preserve">   Malaisie</v>
      </c>
      <c r="C203">
        <v>1275815193</v>
      </c>
      <c r="D203">
        <v>2803820</v>
      </c>
    </row>
    <row r="204" spans="1:4" x14ac:dyDescent="0.25">
      <c r="A204" t="str">
        <f>T("   NL")</f>
        <v xml:space="preserve">   NL</v>
      </c>
      <c r="B204" t="str">
        <f>T("   Pays-bas")</f>
        <v xml:space="preserve">   Pays-bas</v>
      </c>
      <c r="C204">
        <v>329416548</v>
      </c>
      <c r="D204">
        <v>593656</v>
      </c>
    </row>
    <row r="205" spans="1:4" x14ac:dyDescent="0.25">
      <c r="A205" t="str">
        <f>T("   US")</f>
        <v xml:space="preserve">   US</v>
      </c>
      <c r="B205" t="str">
        <f>T("   Etats-Unis")</f>
        <v xml:space="preserve">   Etats-Unis</v>
      </c>
      <c r="C205">
        <v>11885963</v>
      </c>
      <c r="D205">
        <v>8652</v>
      </c>
    </row>
    <row r="206" spans="1:4" x14ac:dyDescent="0.25">
      <c r="A206" t="str">
        <f>T("151620")</f>
        <v>151620</v>
      </c>
      <c r="B206" t="str">
        <f>T("Graisses et huiles végétales et leurs fractions, partiellement ou totalement hydrogénées, interestérifiées, réestérifiées ou élaïdinisées, même raffinées, mais non autrement préparées")</f>
        <v>Graisses et huiles végétales et leurs fractions, partiellement ou totalement hydrogénées, interestérifiées, réestérifiées ou élaïdinisées, même raffinées, mais non autrement préparées</v>
      </c>
    </row>
    <row r="207" spans="1:4" x14ac:dyDescent="0.25">
      <c r="A207" t="str">
        <f>T("   ZZZ_Monde")</f>
        <v xml:space="preserve">   ZZZ_Monde</v>
      </c>
      <c r="B207" t="str">
        <f>T("   ZZZ_Monde")</f>
        <v xml:space="preserve">   ZZZ_Monde</v>
      </c>
      <c r="C207">
        <v>919560411</v>
      </c>
      <c r="D207">
        <v>1332818</v>
      </c>
    </row>
    <row r="208" spans="1:4" x14ac:dyDescent="0.25">
      <c r="A208" t="str">
        <f>T("   NG")</f>
        <v xml:space="preserve">   NG</v>
      </c>
      <c r="B208" t="str">
        <f>T("   Nigéria")</f>
        <v xml:space="preserve">   Nigéria</v>
      </c>
      <c r="C208">
        <v>919560411</v>
      </c>
      <c r="D208">
        <v>1332818</v>
      </c>
    </row>
    <row r="209" spans="1:4" x14ac:dyDescent="0.25">
      <c r="A209" t="str">
        <f>T("151790")</f>
        <v>151790</v>
      </c>
      <c r="B209" t="str">
        <f>T("Mélanges ou préparations alimentaires de graisses ou huiles animales ou végétales ou de fractions comestibles de différentes graisses ou huiles (sauf graisses et huiles et leurs fractions, partiellement ou totalement hydrogénées, interestérifiées, réestér")</f>
        <v>Mélanges ou préparations alimentaires de graisses ou huiles animales ou végétales ou de fractions comestibles de différentes graisses ou huiles (sauf graisses et huiles et leurs fractions, partiellement ou totalement hydrogénées, interestérifiées, réestér</v>
      </c>
    </row>
    <row r="210" spans="1:4" x14ac:dyDescent="0.25">
      <c r="A210" t="str">
        <f>T("   ZZZ_Monde")</f>
        <v xml:space="preserve">   ZZZ_Monde</v>
      </c>
      <c r="B210" t="str">
        <f>T("   ZZZ_Monde")</f>
        <v xml:space="preserve">   ZZZ_Monde</v>
      </c>
      <c r="C210">
        <v>46046052</v>
      </c>
      <c r="D210">
        <v>106020</v>
      </c>
    </row>
    <row r="211" spans="1:4" x14ac:dyDescent="0.25">
      <c r="A211" t="str">
        <f>T("   DE")</f>
        <v xml:space="preserve">   DE</v>
      </c>
      <c r="B211" t="str">
        <f>T("   Allemagne")</f>
        <v xml:space="preserve">   Allemagne</v>
      </c>
      <c r="C211">
        <v>45566052</v>
      </c>
      <c r="D211">
        <v>105620</v>
      </c>
    </row>
    <row r="212" spans="1:4" x14ac:dyDescent="0.25">
      <c r="A212" t="str">
        <f>T("   JP")</f>
        <v xml:space="preserve">   JP</v>
      </c>
      <c r="B212" t="str">
        <f>T("   Japon")</f>
        <v xml:space="preserve">   Japon</v>
      </c>
      <c r="C212">
        <v>480000</v>
      </c>
      <c r="D212">
        <v>400</v>
      </c>
    </row>
    <row r="213" spans="1:4" x14ac:dyDescent="0.25">
      <c r="A213" t="str">
        <f>T("160420")</f>
        <v>160420</v>
      </c>
      <c r="B213" t="str">
        <f>T("Préparations et conserves de poissons (à l'excl. des préparations et conserves de poissons entiers ou en morceaux)")</f>
        <v>Préparations et conserves de poissons (à l'excl. des préparations et conserves de poissons entiers ou en morceaux)</v>
      </c>
    </row>
    <row r="214" spans="1:4" x14ac:dyDescent="0.25">
      <c r="A214" t="str">
        <f>T("   ZZZ_Monde")</f>
        <v xml:space="preserve">   ZZZ_Monde</v>
      </c>
      <c r="B214" t="str">
        <f>T("   ZZZ_Monde")</f>
        <v xml:space="preserve">   ZZZ_Monde</v>
      </c>
      <c r="C214">
        <v>1678601</v>
      </c>
      <c r="D214">
        <v>27625</v>
      </c>
    </row>
    <row r="215" spans="1:4" x14ac:dyDescent="0.25">
      <c r="A215" t="str">
        <f>T("   CG")</f>
        <v xml:space="preserve">   CG</v>
      </c>
      <c r="B215" t="str">
        <f>T("   Congo (Brazzaville)")</f>
        <v xml:space="preserve">   Congo (Brazzaville)</v>
      </c>
      <c r="C215">
        <v>1678601</v>
      </c>
      <c r="D215">
        <v>27625</v>
      </c>
    </row>
    <row r="216" spans="1:4" x14ac:dyDescent="0.25">
      <c r="A216" t="str">
        <f>T("170191")</f>
        <v>170191</v>
      </c>
      <c r="B216" t="str">
        <f>T("Sucres de canne ou de betterave, à l'état solide, additionnés d'aromatisants ou de colorants")</f>
        <v>Sucres de canne ou de betterave, à l'état solide, additionnés d'aromatisants ou de colorants</v>
      </c>
    </row>
    <row r="217" spans="1:4" x14ac:dyDescent="0.25">
      <c r="A217" t="str">
        <f>T("   ZZZ_Monde")</f>
        <v xml:space="preserve">   ZZZ_Monde</v>
      </c>
      <c r="B217" t="str">
        <f>T("   ZZZ_Monde")</f>
        <v xml:space="preserve">   ZZZ_Monde</v>
      </c>
      <c r="C217">
        <v>2388925217</v>
      </c>
      <c r="D217">
        <v>6488573</v>
      </c>
    </row>
    <row r="218" spans="1:4" x14ac:dyDescent="0.25">
      <c r="A218" t="str">
        <f>T("   ES")</f>
        <v xml:space="preserve">   ES</v>
      </c>
      <c r="B218" t="str">
        <f>T("   Espagne")</f>
        <v xml:space="preserve">   Espagne</v>
      </c>
      <c r="C218">
        <v>2016098165</v>
      </c>
      <c r="D218">
        <v>5483573</v>
      </c>
    </row>
    <row r="219" spans="1:4" x14ac:dyDescent="0.25">
      <c r="A219" t="str">
        <f>T("   IT")</f>
        <v xml:space="preserve">   IT</v>
      </c>
      <c r="B219" t="str">
        <f>T("   Italie")</f>
        <v xml:space="preserve">   Italie</v>
      </c>
      <c r="C219">
        <v>372827052</v>
      </c>
      <c r="D219">
        <v>1005000</v>
      </c>
    </row>
    <row r="220" spans="1:4" x14ac:dyDescent="0.25">
      <c r="A220" t="str">
        <f>T("170199")</f>
        <v>170199</v>
      </c>
      <c r="B220" t="str">
        <f>T("Sucres de canne ou de betterave et saccharose chimiquement pur, à l'état solide (à l'excl. des sucres bruts et des sucres de canne ou de betterave additionnés d'aromatisants ou de colorants)")</f>
        <v>Sucres de canne ou de betterave et saccharose chimiquement pur, à l'état solide (à l'excl. des sucres bruts et des sucres de canne ou de betterave additionnés d'aromatisants ou de colorants)</v>
      </c>
    </row>
    <row r="221" spans="1:4" x14ac:dyDescent="0.25">
      <c r="A221" t="str">
        <f>T("   ZZZ_Monde")</f>
        <v xml:space="preserve">   ZZZ_Monde</v>
      </c>
      <c r="B221" t="str">
        <f>T("   ZZZ_Monde")</f>
        <v xml:space="preserve">   ZZZ_Monde</v>
      </c>
      <c r="C221">
        <v>719025250</v>
      </c>
      <c r="D221">
        <v>2000000</v>
      </c>
    </row>
    <row r="222" spans="1:4" x14ac:dyDescent="0.25">
      <c r="A222" t="str">
        <f>T("   IT")</f>
        <v xml:space="preserve">   IT</v>
      </c>
      <c r="B222" t="str">
        <f>T("   Italie")</f>
        <v xml:space="preserve">   Italie</v>
      </c>
      <c r="C222">
        <v>719025250</v>
      </c>
      <c r="D222">
        <v>2000000</v>
      </c>
    </row>
    <row r="223" spans="1:4" x14ac:dyDescent="0.25">
      <c r="A223" t="str">
        <f>T("190110")</f>
        <v>190110</v>
      </c>
      <c r="B223" t="str">
        <f>T("Préparations alimentaires de farines, gruaux, semoules, amidons, fécules ou extraits de malt, ne contenant pas de cacao ou contenant &lt; 40% en poids de cacao calculés sur une base entièrement dégraissée, n.d.a.; préparations alimentaires à base de lait, de")</f>
        <v>Préparations alimentaires de farines, gruaux, semoules, amidons, fécules ou extraits de malt, ne contenant pas de cacao ou contenant &lt; 40% en poids de cacao calculés sur une base entièrement dégraissée, n.d.a.; préparations alimentaires à base de lait, de</v>
      </c>
    </row>
    <row r="224" spans="1:4" x14ac:dyDescent="0.25">
      <c r="A224" t="str">
        <f>T("   ZZZ_Monde")</f>
        <v xml:space="preserve">   ZZZ_Monde</v>
      </c>
      <c r="B224" t="str">
        <f>T("   ZZZ_Monde")</f>
        <v xml:space="preserve">   ZZZ_Monde</v>
      </c>
      <c r="C224">
        <v>840000</v>
      </c>
      <c r="D224">
        <v>700</v>
      </c>
    </row>
    <row r="225" spans="1:4" x14ac:dyDescent="0.25">
      <c r="A225" t="str">
        <f>T("   TG")</f>
        <v xml:space="preserve">   TG</v>
      </c>
      <c r="B225" t="str">
        <f>T("   Togo")</f>
        <v xml:space="preserve">   Togo</v>
      </c>
      <c r="C225">
        <v>840000</v>
      </c>
      <c r="D225">
        <v>700</v>
      </c>
    </row>
    <row r="226" spans="1:4" x14ac:dyDescent="0.25">
      <c r="A226" t="str">
        <f>T("190230")</f>
        <v>190230</v>
      </c>
      <c r="B226" t="str">
        <f>T("Pâtes alimentaires, cuites ou autrement préparées (à l'excl. des pâtes alimentaires farcies)")</f>
        <v>Pâtes alimentaires, cuites ou autrement préparées (à l'excl. des pâtes alimentaires farcies)</v>
      </c>
    </row>
    <row r="227" spans="1:4" x14ac:dyDescent="0.25">
      <c r="A227" t="str">
        <f>T("   ZZZ_Monde")</f>
        <v xml:space="preserve">   ZZZ_Monde</v>
      </c>
      <c r="B227" t="str">
        <f>T("   ZZZ_Monde")</f>
        <v xml:space="preserve">   ZZZ_Monde</v>
      </c>
      <c r="C227">
        <v>183750000</v>
      </c>
      <c r="D227">
        <v>440000</v>
      </c>
    </row>
    <row r="228" spans="1:4" x14ac:dyDescent="0.25">
      <c r="A228" t="str">
        <f>T("   NE")</f>
        <v xml:space="preserve">   NE</v>
      </c>
      <c r="B228" t="str">
        <f>T("   Niger")</f>
        <v xml:space="preserve">   Niger</v>
      </c>
      <c r="C228">
        <v>69750000</v>
      </c>
      <c r="D228">
        <v>180000</v>
      </c>
    </row>
    <row r="229" spans="1:4" x14ac:dyDescent="0.25">
      <c r="A229" t="str">
        <f>T("   NG")</f>
        <v xml:space="preserve">   NG</v>
      </c>
      <c r="B229" t="str">
        <f>T("   Nigéria")</f>
        <v xml:space="preserve">   Nigéria</v>
      </c>
      <c r="C229">
        <v>42000000</v>
      </c>
      <c r="D229">
        <v>80000</v>
      </c>
    </row>
    <row r="230" spans="1:4" x14ac:dyDescent="0.25">
      <c r="A230" t="str">
        <f>T("   TG")</f>
        <v xml:space="preserve">   TG</v>
      </c>
      <c r="B230" t="str">
        <f>T("   Togo")</f>
        <v xml:space="preserve">   Togo</v>
      </c>
      <c r="C230">
        <v>72000000</v>
      </c>
      <c r="D230">
        <v>180000</v>
      </c>
    </row>
    <row r="231" spans="1:4" x14ac:dyDescent="0.25">
      <c r="A231" t="str">
        <f>T("190590")</f>
        <v>190590</v>
      </c>
      <c r="B231" t="str">
        <f>T("Produits de la boulangerie, pâtisserie ou biscuiterie, même additionnés de cacao, hosties, cachets vides des types utilisés pour médicaments, pains à cacheter, pâtes séchées de farine, d'amidon ou de fécule en feuilles et produits simil. (sauf pain croust")</f>
        <v>Produits de la boulangerie, pâtisserie ou biscuiterie, même additionnés de cacao, hosties, cachets vides des types utilisés pour médicaments, pains à cacheter, pâtes séchées de farine, d'amidon ou de fécule en feuilles et produits simil. (sauf pain croust</v>
      </c>
    </row>
    <row r="232" spans="1:4" x14ac:dyDescent="0.25">
      <c r="A232" t="str">
        <f>T("   ZZZ_Monde")</f>
        <v xml:space="preserve">   ZZZ_Monde</v>
      </c>
      <c r="B232" t="str">
        <f>T("   ZZZ_Monde")</f>
        <v xml:space="preserve">   ZZZ_Monde</v>
      </c>
      <c r="C232">
        <v>6160000</v>
      </c>
      <c r="D232">
        <v>4145</v>
      </c>
    </row>
    <row r="233" spans="1:4" x14ac:dyDescent="0.25">
      <c r="A233" t="str">
        <f>T("   TG")</f>
        <v xml:space="preserve">   TG</v>
      </c>
      <c r="B233" t="str">
        <f>T("   Togo")</f>
        <v xml:space="preserve">   Togo</v>
      </c>
      <c r="C233">
        <v>6160000</v>
      </c>
      <c r="D233">
        <v>4145</v>
      </c>
    </row>
    <row r="234" spans="1:4" x14ac:dyDescent="0.25">
      <c r="A234" t="str">
        <f>T("200600")</f>
        <v>200600</v>
      </c>
      <c r="B234" t="str">
        <f>T("Légumes, fruits, écorces de fruits et autres parties de plantes, confits au sucre [égouttés, glacés ou cristallisés]")</f>
        <v>Légumes, fruits, écorces de fruits et autres parties de plantes, confits au sucre [égouttés, glacés ou cristallisés]</v>
      </c>
    </row>
    <row r="235" spans="1:4" x14ac:dyDescent="0.25">
      <c r="A235" t="str">
        <f>T("   ZZZ_Monde")</f>
        <v xml:space="preserve">   ZZZ_Monde</v>
      </c>
      <c r="B235" t="str">
        <f>T("   ZZZ_Monde")</f>
        <v xml:space="preserve">   ZZZ_Monde</v>
      </c>
      <c r="C235">
        <v>300000</v>
      </c>
      <c r="D235">
        <v>3700</v>
      </c>
    </row>
    <row r="236" spans="1:4" x14ac:dyDescent="0.25">
      <c r="A236" t="str">
        <f>T("   GA")</f>
        <v xml:space="preserve">   GA</v>
      </c>
      <c r="B236" t="str">
        <f>T("   Gabon")</f>
        <v xml:space="preserve">   Gabon</v>
      </c>
      <c r="C236">
        <v>300000</v>
      </c>
      <c r="D236">
        <v>3700</v>
      </c>
    </row>
    <row r="237" spans="1:4" x14ac:dyDescent="0.25">
      <c r="A237" t="str">
        <f>T("200939")</f>
        <v>200939</v>
      </c>
      <c r="B237" t="str">
        <f>T("JUS D'AGRUMES, NON-FERMENTÉS, SANS ADDITION D'ALCOOL, AVEC OU SANS ADDITION DE SUCRE OU D'AUTRES ÉDULCORANTS, D'UNE VALEUR BRIX &gt; 20 À 20°C (À L'EXCL. DES MÉLANGES AINSI QUE DES JUS D'ORANGE, DE PAMPLEMOUSSE OU DE POMELO)")</f>
        <v>JUS D'AGRUMES, NON-FERMENTÉS, SANS ADDITION D'ALCOOL, AVEC OU SANS ADDITION DE SUCRE OU D'AUTRES ÉDULCORANTS, D'UNE VALEUR BRIX &gt; 20 À 20°C (À L'EXCL. DES MÉLANGES AINSI QUE DES JUS D'ORANGE, DE PAMPLEMOUSSE OU DE POMELO)</v>
      </c>
    </row>
    <row r="238" spans="1:4" x14ac:dyDescent="0.25">
      <c r="A238" t="str">
        <f>T("   ZZZ_Monde")</f>
        <v xml:space="preserve">   ZZZ_Monde</v>
      </c>
      <c r="B238" t="str">
        <f>T("   ZZZ_Monde")</f>
        <v xml:space="preserve">   ZZZ_Monde</v>
      </c>
      <c r="C238">
        <v>3792800</v>
      </c>
      <c r="D238">
        <v>18930</v>
      </c>
    </row>
    <row r="239" spans="1:4" x14ac:dyDescent="0.25">
      <c r="A239" t="str">
        <f>T("   BF")</f>
        <v xml:space="preserve">   BF</v>
      </c>
      <c r="B239" t="str">
        <f>T("   Burkina Faso")</f>
        <v xml:space="preserve">   Burkina Faso</v>
      </c>
      <c r="C239">
        <v>2300000</v>
      </c>
      <c r="D239">
        <v>5600</v>
      </c>
    </row>
    <row r="240" spans="1:4" x14ac:dyDescent="0.25">
      <c r="A240" t="str">
        <f>T("   SN")</f>
        <v xml:space="preserve">   SN</v>
      </c>
      <c r="B240" t="str">
        <f>T("   Sénégal")</f>
        <v xml:space="preserve">   Sénégal</v>
      </c>
      <c r="C240">
        <v>1492800</v>
      </c>
      <c r="D240">
        <v>13330</v>
      </c>
    </row>
    <row r="241" spans="1:4" x14ac:dyDescent="0.25">
      <c r="A241" t="str">
        <f>T("200941")</f>
        <v>200941</v>
      </c>
      <c r="B241" t="str">
        <f>T("JUS D'ANANAS, NON-FERMENTÉS, SANS ADDITION D'ALCOOL, AVEC OU SANS ADDITION DE SUCRE OU D'AUTRES ÉDULCORANTS, D'UNE VALEUR BRIX &lt;= 20 À 20°C")</f>
        <v>JUS D'ANANAS, NON-FERMENTÉS, SANS ADDITION D'ALCOOL, AVEC OU SANS ADDITION DE SUCRE OU D'AUTRES ÉDULCORANTS, D'UNE VALEUR BRIX &lt;= 20 À 20°C</v>
      </c>
    </row>
    <row r="242" spans="1:4" x14ac:dyDescent="0.25">
      <c r="A242" t="str">
        <f>T("   ZZZ_Monde")</f>
        <v xml:space="preserve">   ZZZ_Monde</v>
      </c>
      <c r="B242" t="str">
        <f>T("   ZZZ_Monde")</f>
        <v xml:space="preserve">   ZZZ_Monde</v>
      </c>
      <c r="C242">
        <v>1200000</v>
      </c>
      <c r="D242">
        <v>11000</v>
      </c>
    </row>
    <row r="243" spans="1:4" x14ac:dyDescent="0.25">
      <c r="A243" t="str">
        <f>T("   BF")</f>
        <v xml:space="preserve">   BF</v>
      </c>
      <c r="B243" t="str">
        <f>T("   Burkina Faso")</f>
        <v xml:space="preserve">   Burkina Faso</v>
      </c>
      <c r="C243">
        <v>1200000</v>
      </c>
      <c r="D243">
        <v>11000</v>
      </c>
    </row>
    <row r="244" spans="1:4" x14ac:dyDescent="0.25">
      <c r="A244" t="str">
        <f>T("200949")</f>
        <v>200949</v>
      </c>
      <c r="B244" t="str">
        <f>T("JUS D'ANANAS, NON-FERMENTÉS, SANS ADDITION D'ALCOOL, AVEC OU SANS ADDITION DE SUCRE OU D'AUTRES ÉDULCORANTS, D'UNE VALEUR BRIX &gt; 20 À 20°C")</f>
        <v>JUS D'ANANAS, NON-FERMENTÉS, SANS ADDITION D'ALCOOL, AVEC OU SANS ADDITION DE SUCRE OU D'AUTRES ÉDULCORANTS, D'UNE VALEUR BRIX &gt; 20 À 20°C</v>
      </c>
    </row>
    <row r="245" spans="1:4" x14ac:dyDescent="0.25">
      <c r="A245" t="str">
        <f>T("   ZZZ_Monde")</f>
        <v xml:space="preserve">   ZZZ_Monde</v>
      </c>
      <c r="B245" t="str">
        <f>T("   ZZZ_Monde")</f>
        <v xml:space="preserve">   ZZZ_Monde</v>
      </c>
      <c r="C245">
        <v>51306335</v>
      </c>
      <c r="D245">
        <v>287316</v>
      </c>
    </row>
    <row r="246" spans="1:4" x14ac:dyDescent="0.25">
      <c r="A246" t="str">
        <f>T("   BF")</f>
        <v xml:space="preserve">   BF</v>
      </c>
      <c r="B246" t="str">
        <f>T("   Burkina Faso")</f>
        <v xml:space="preserve">   Burkina Faso</v>
      </c>
      <c r="C246">
        <v>20776335</v>
      </c>
      <c r="D246">
        <v>171516</v>
      </c>
    </row>
    <row r="247" spans="1:4" x14ac:dyDescent="0.25">
      <c r="A247" t="str">
        <f>T("   ML")</f>
        <v xml:space="preserve">   ML</v>
      </c>
      <c r="B247" t="str">
        <f>T("   Mali")</f>
        <v xml:space="preserve">   Mali</v>
      </c>
      <c r="C247">
        <v>19400000</v>
      </c>
      <c r="D247">
        <v>59500</v>
      </c>
    </row>
    <row r="248" spans="1:4" x14ac:dyDescent="0.25">
      <c r="A248" t="str">
        <f>T("   NE")</f>
        <v xml:space="preserve">   NE</v>
      </c>
      <c r="B248" t="str">
        <f>T("   Niger")</f>
        <v xml:space="preserve">   Niger</v>
      </c>
      <c r="C248">
        <v>11130000</v>
      </c>
      <c r="D248">
        <v>56300</v>
      </c>
    </row>
    <row r="249" spans="1:4" x14ac:dyDescent="0.25">
      <c r="A249" t="str">
        <f>T("200980")</f>
        <v>200980</v>
      </c>
      <c r="B249" t="str">
        <f>T("JUS DE FRUITS OU DE LÉGUMES, NON-FERMENTÉS, SANS ADDITION D'ALCOOL, AVEC OU SANS ADDITION DE SUCRE OU D'AUTRES ÉDULCORANTS (À L'EXCL. DES MÉLANGES AINSI QUE DES JUS D'AGRUMES, D'ANANAS, DE TOMATE, DE RAISIN - Y.C. LES MOÛTS - ET DE POMME)")</f>
        <v>JUS DE FRUITS OU DE LÉGUMES, NON-FERMENTÉS, SANS ADDITION D'ALCOOL, AVEC OU SANS ADDITION DE SUCRE OU D'AUTRES ÉDULCORANTS (À L'EXCL. DES MÉLANGES AINSI QUE DES JUS D'AGRUMES, D'ANANAS, DE TOMATE, DE RAISIN - Y.C. LES MOÛTS - ET DE POMME)</v>
      </c>
    </row>
    <row r="250" spans="1:4" x14ac:dyDescent="0.25">
      <c r="A250" t="str">
        <f>T("   ZZZ_Monde")</f>
        <v xml:space="preserve">   ZZZ_Monde</v>
      </c>
      <c r="B250" t="str">
        <f>T("   ZZZ_Monde")</f>
        <v xml:space="preserve">   ZZZ_Monde</v>
      </c>
      <c r="C250">
        <v>2126013</v>
      </c>
      <c r="D250">
        <v>10752</v>
      </c>
    </row>
    <row r="251" spans="1:4" x14ac:dyDescent="0.25">
      <c r="A251" t="str">
        <f>T("   LY")</f>
        <v xml:space="preserve">   LY</v>
      </c>
      <c r="B251" t="str">
        <f>T("   Libyenne, Jamahiriya Arabe")</f>
        <v xml:space="preserve">   Libyenne, Jamahiriya Arabe</v>
      </c>
      <c r="C251">
        <v>2126013</v>
      </c>
      <c r="D251">
        <v>10752</v>
      </c>
    </row>
    <row r="252" spans="1:4" x14ac:dyDescent="0.25">
      <c r="A252" t="str">
        <f>T("210690")</f>
        <v>210690</v>
      </c>
      <c r="B252" t="str">
        <f>T("Préparations alimentaires, n.d.a.")</f>
        <v>Préparations alimentaires, n.d.a.</v>
      </c>
    </row>
    <row r="253" spans="1:4" x14ac:dyDescent="0.25">
      <c r="A253" t="str">
        <f>T("   ZZZ_Monde")</f>
        <v xml:space="preserve">   ZZZ_Monde</v>
      </c>
      <c r="B253" t="str">
        <f>T("   ZZZ_Monde")</f>
        <v xml:space="preserve">   ZZZ_Monde</v>
      </c>
      <c r="C253">
        <v>61910663</v>
      </c>
      <c r="D253">
        <v>16942</v>
      </c>
    </row>
    <row r="254" spans="1:4" x14ac:dyDescent="0.25">
      <c r="A254" t="str">
        <f>T("   GH")</f>
        <v xml:space="preserve">   GH</v>
      </c>
      <c r="B254" t="str">
        <f>T("   Ghana")</f>
        <v xml:space="preserve">   Ghana</v>
      </c>
      <c r="C254">
        <v>8020641</v>
      </c>
      <c r="D254">
        <v>630</v>
      </c>
    </row>
    <row r="255" spans="1:4" x14ac:dyDescent="0.25">
      <c r="A255" t="str">
        <f>T("   SN")</f>
        <v xml:space="preserve">   SN</v>
      </c>
      <c r="B255" t="str">
        <f>T("   Sénégal")</f>
        <v xml:space="preserve">   Sénégal</v>
      </c>
      <c r="C255">
        <v>48800000</v>
      </c>
      <c r="D255">
        <v>16000</v>
      </c>
    </row>
    <row r="256" spans="1:4" x14ac:dyDescent="0.25">
      <c r="A256" t="str">
        <f>T("   TG")</f>
        <v xml:space="preserve">   TG</v>
      </c>
      <c r="B256" t="str">
        <f>T("   Togo")</f>
        <v xml:space="preserve">   Togo</v>
      </c>
      <c r="C256">
        <v>5090022</v>
      </c>
      <c r="D256">
        <v>312</v>
      </c>
    </row>
    <row r="257" spans="1:4" x14ac:dyDescent="0.25">
      <c r="A257" t="str">
        <f>T("220110")</f>
        <v>220110</v>
      </c>
      <c r="B257" t="str">
        <f>T("Eaux minérales et eaux gazéifiées, non additionnées de sucre ou d'autres édulcorants ni aromatisées")</f>
        <v>Eaux minérales et eaux gazéifiées, non additionnées de sucre ou d'autres édulcorants ni aromatisées</v>
      </c>
    </row>
    <row r="258" spans="1:4" x14ac:dyDescent="0.25">
      <c r="A258" t="str">
        <f>T("   ZZZ_Monde")</f>
        <v xml:space="preserve">   ZZZ_Monde</v>
      </c>
      <c r="B258" t="str">
        <f>T("   ZZZ_Monde")</f>
        <v xml:space="preserve">   ZZZ_Monde</v>
      </c>
      <c r="C258">
        <v>58141717</v>
      </c>
      <c r="D258">
        <v>324174</v>
      </c>
    </row>
    <row r="259" spans="1:4" x14ac:dyDescent="0.25">
      <c r="A259" t="str">
        <f>T("   NE")</f>
        <v xml:space="preserve">   NE</v>
      </c>
      <c r="B259" t="str">
        <f>T("   Niger")</f>
        <v xml:space="preserve">   Niger</v>
      </c>
      <c r="C259">
        <v>10495000</v>
      </c>
      <c r="D259">
        <v>82600</v>
      </c>
    </row>
    <row r="260" spans="1:4" x14ac:dyDescent="0.25">
      <c r="A260" t="str">
        <f>T("   TG")</f>
        <v xml:space="preserve">   TG</v>
      </c>
      <c r="B260" t="str">
        <f>T("   Togo")</f>
        <v xml:space="preserve">   Togo</v>
      </c>
      <c r="C260">
        <v>47646717</v>
      </c>
      <c r="D260">
        <v>241574</v>
      </c>
    </row>
    <row r="261" spans="1:4" x14ac:dyDescent="0.25">
      <c r="A261" t="str">
        <f>T("220190")</f>
        <v>220190</v>
      </c>
      <c r="B261" t="str">
        <f>T("Eaux, non additionnées de sucre ou d'autres édulcorants ni aromatisées (à l'excl. des eaux minérales, des eaux gazéifiées, de l'eau de mer ainsi que des eaux distillées, de conductibilité ou de même degré de pureté); glace et neige")</f>
        <v>Eaux, non additionnées de sucre ou d'autres édulcorants ni aromatisées (à l'excl. des eaux minérales, des eaux gazéifiées, de l'eau de mer ainsi que des eaux distillées, de conductibilité ou de même degré de pureté); glace et neige</v>
      </c>
    </row>
    <row r="262" spans="1:4" x14ac:dyDescent="0.25">
      <c r="A262" t="str">
        <f>T("   ZZZ_Monde")</f>
        <v xml:space="preserve">   ZZZ_Monde</v>
      </c>
      <c r="B262" t="str">
        <f>T("   ZZZ_Monde")</f>
        <v xml:space="preserve">   ZZZ_Monde</v>
      </c>
      <c r="C262">
        <v>3187000</v>
      </c>
      <c r="D262">
        <v>22000</v>
      </c>
    </row>
    <row r="263" spans="1:4" x14ac:dyDescent="0.25">
      <c r="A263" t="str">
        <f>T("   TG")</f>
        <v xml:space="preserve">   TG</v>
      </c>
      <c r="B263" t="str">
        <f>T("   Togo")</f>
        <v xml:space="preserve">   Togo</v>
      </c>
      <c r="C263">
        <v>3187000</v>
      </c>
      <c r="D263">
        <v>22000</v>
      </c>
    </row>
    <row r="264" spans="1:4" x14ac:dyDescent="0.25">
      <c r="A264" t="str">
        <f>T("220210")</f>
        <v>220210</v>
      </c>
      <c r="B264" t="str">
        <f>T("Eaux, y.c. les eaux minérales et les eaux gazéifiées, additionnées de sucre ou d'autres édulcorants ou aromatisées, directement consommables en l'état en tant que boissons")</f>
        <v>Eaux, y.c. les eaux minérales et les eaux gazéifiées, additionnées de sucre ou d'autres édulcorants ou aromatisées, directement consommables en l'état en tant que boissons</v>
      </c>
    </row>
    <row r="265" spans="1:4" x14ac:dyDescent="0.25">
      <c r="A265" t="str">
        <f>T("   ZZZ_Monde")</f>
        <v xml:space="preserve">   ZZZ_Monde</v>
      </c>
      <c r="B265" t="str">
        <f>T("   ZZZ_Monde")</f>
        <v xml:space="preserve">   ZZZ_Monde</v>
      </c>
      <c r="C265">
        <v>31089808</v>
      </c>
      <c r="D265">
        <v>78795</v>
      </c>
    </row>
    <row r="266" spans="1:4" x14ac:dyDescent="0.25">
      <c r="A266" t="str">
        <f>T("   TG")</f>
        <v xml:space="preserve">   TG</v>
      </c>
      <c r="B266" t="str">
        <f>T("   Togo")</f>
        <v xml:space="preserve">   Togo</v>
      </c>
      <c r="C266">
        <v>31089808</v>
      </c>
      <c r="D266">
        <v>78795</v>
      </c>
    </row>
    <row r="267" spans="1:4" x14ac:dyDescent="0.25">
      <c r="A267" t="str">
        <f>T("220600")</f>
        <v>220600</v>
      </c>
      <c r="B267" t="str">
        <f>T("CIDRE, POIRÉ, HYDROMEL ET AUTRES BOISSONS FERMENTÉES; MÉLANGES DE BOISSONS FERMENTÉES ET MÉLANGES DE BOISSONS FERMENTÉES ET DE BOISSONS NON-ALCOOLIQUES, N.D.A. (À L'EXCL. DE LA BIÈRE, DES VINS DE RAISINS FRAIS, DES MOÛTS DE RAISINS AINSI QUE DES VERMOUTHS")</f>
        <v>CIDRE, POIRÉ, HYDROMEL ET AUTRES BOISSONS FERMENTÉES; MÉLANGES DE BOISSONS FERMENTÉES ET MÉLANGES DE BOISSONS FERMENTÉES ET DE BOISSONS NON-ALCOOLIQUES, N.D.A. (À L'EXCL. DE LA BIÈRE, DES VINS DE RAISINS FRAIS, DES MOÛTS DE RAISINS AINSI QUE DES VERMOUTHS</v>
      </c>
    </row>
    <row r="268" spans="1:4" x14ac:dyDescent="0.25">
      <c r="A268" t="str">
        <f>T("   ZZZ_Monde")</f>
        <v xml:space="preserve">   ZZZ_Monde</v>
      </c>
      <c r="B268" t="str">
        <f>T("   ZZZ_Monde")</f>
        <v xml:space="preserve">   ZZZ_Monde</v>
      </c>
      <c r="C268">
        <v>1450000</v>
      </c>
      <c r="D268">
        <v>19800</v>
      </c>
    </row>
    <row r="269" spans="1:4" x14ac:dyDescent="0.25">
      <c r="A269" t="str">
        <f>T("   GA")</f>
        <v xml:space="preserve">   GA</v>
      </c>
      <c r="B269" t="str">
        <f>T("   Gabon")</f>
        <v xml:space="preserve">   Gabon</v>
      </c>
      <c r="C269">
        <v>1450000</v>
      </c>
      <c r="D269">
        <v>19800</v>
      </c>
    </row>
    <row r="270" spans="1:4" x14ac:dyDescent="0.25">
      <c r="A270" t="str">
        <f>T("220720")</f>
        <v>220720</v>
      </c>
      <c r="B270" t="str">
        <f>T("Alcool éthylique et eaux-de-vie dénaturés de tous titres")</f>
        <v>Alcool éthylique et eaux-de-vie dénaturés de tous titres</v>
      </c>
    </row>
    <row r="271" spans="1:4" x14ac:dyDescent="0.25">
      <c r="A271" t="str">
        <f>T("   ZZZ_Monde")</f>
        <v xml:space="preserve">   ZZZ_Monde</v>
      </c>
      <c r="B271" t="str">
        <f>T("   ZZZ_Monde")</f>
        <v xml:space="preserve">   ZZZ_Monde</v>
      </c>
      <c r="C271">
        <v>2160000</v>
      </c>
      <c r="D271">
        <v>4800</v>
      </c>
    </row>
    <row r="272" spans="1:4" x14ac:dyDescent="0.25">
      <c r="A272" t="str">
        <f>T("   GA")</f>
        <v xml:space="preserve">   GA</v>
      </c>
      <c r="B272" t="str">
        <f>T("   Gabon")</f>
        <v xml:space="preserve">   Gabon</v>
      </c>
      <c r="C272">
        <v>2160000</v>
      </c>
      <c r="D272">
        <v>4800</v>
      </c>
    </row>
    <row r="273" spans="1:4" x14ac:dyDescent="0.25">
      <c r="A273" t="str">
        <f>T("220870")</f>
        <v>220870</v>
      </c>
      <c r="B273" t="str">
        <f>T("LIQUEURS")</f>
        <v>LIQUEURS</v>
      </c>
    </row>
    <row r="274" spans="1:4" x14ac:dyDescent="0.25">
      <c r="A274" t="str">
        <f>T("   ZZZ_Monde")</f>
        <v xml:space="preserve">   ZZZ_Monde</v>
      </c>
      <c r="B274" t="str">
        <f>T("   ZZZ_Monde")</f>
        <v xml:space="preserve">   ZZZ_Monde</v>
      </c>
      <c r="C274">
        <v>5695000</v>
      </c>
      <c r="D274">
        <v>28160</v>
      </c>
    </row>
    <row r="275" spans="1:4" x14ac:dyDescent="0.25">
      <c r="A275" t="str">
        <f>T("   NE")</f>
        <v xml:space="preserve">   NE</v>
      </c>
      <c r="B275" t="str">
        <f>T("   Niger")</f>
        <v xml:space="preserve">   Niger</v>
      </c>
      <c r="C275">
        <v>5695000</v>
      </c>
      <c r="D275">
        <v>28160</v>
      </c>
    </row>
    <row r="276" spans="1:4" x14ac:dyDescent="0.25">
      <c r="A276" t="str">
        <f>T("220890")</f>
        <v>220890</v>
      </c>
      <c r="B276" t="str">
        <f>T("ALCOOL ÉTHYLIQUE D'UN TITRE ALCOOMÉTRIQUE VOLUMIQUE &lt; 80% VOL, NON-DÉNATURÉ; EAUX-DE-VIE ET AUTRES BOISSONS SPIRITUEUSES (À L'EXCL. DES EAUX-DE-VIE DE VIN OU DE MARC DE RAISINS, DES WHISKIES, DU RHUM ET AUTRES EAUX-DE-VIE PROVENANT DE LA DISTILLATION APRÈ")</f>
        <v>ALCOOL ÉTHYLIQUE D'UN TITRE ALCOOMÉTRIQUE VOLUMIQUE &lt; 80% VOL, NON-DÉNATURÉ; EAUX-DE-VIE ET AUTRES BOISSONS SPIRITUEUSES (À L'EXCL. DES EAUX-DE-VIE DE VIN OU DE MARC DE RAISINS, DES WHISKIES, DU RHUM ET AUTRES EAUX-DE-VIE PROVENANT DE LA DISTILLATION APRÈ</v>
      </c>
    </row>
    <row r="277" spans="1:4" x14ac:dyDescent="0.25">
      <c r="A277" t="str">
        <f>T("   ZZZ_Monde")</f>
        <v xml:space="preserve">   ZZZ_Monde</v>
      </c>
      <c r="B277" t="str">
        <f>T("   ZZZ_Monde")</f>
        <v xml:space="preserve">   ZZZ_Monde</v>
      </c>
      <c r="C277">
        <v>150000</v>
      </c>
      <c r="D277">
        <v>6400</v>
      </c>
    </row>
    <row r="278" spans="1:4" x14ac:dyDescent="0.25">
      <c r="A278" t="str">
        <f>T("   GA")</f>
        <v xml:space="preserve">   GA</v>
      </c>
      <c r="B278" t="str">
        <f>T("   Gabon")</f>
        <v xml:space="preserve">   Gabon</v>
      </c>
      <c r="C278">
        <v>150000</v>
      </c>
      <c r="D278">
        <v>6400</v>
      </c>
    </row>
    <row r="279" spans="1:4" x14ac:dyDescent="0.25">
      <c r="A279" t="str">
        <f>T("230230")</f>
        <v>230230</v>
      </c>
      <c r="B279" t="str">
        <f>T("Sons, remoulages et autres résidus, même agglomérés sous forme de pellets, du criblage, de la mouture ou d'autres traitements du froment")</f>
        <v>Sons, remoulages et autres résidus, même agglomérés sous forme de pellets, du criblage, de la mouture ou d'autres traitements du froment</v>
      </c>
    </row>
    <row r="280" spans="1:4" x14ac:dyDescent="0.25">
      <c r="A280" t="str">
        <f>T("   ZZZ_Monde")</f>
        <v xml:space="preserve">   ZZZ_Monde</v>
      </c>
      <c r="B280" t="str">
        <f>T("   ZZZ_Monde")</f>
        <v xml:space="preserve">   ZZZ_Monde</v>
      </c>
      <c r="C280">
        <v>150740000</v>
      </c>
      <c r="D280">
        <v>1770000</v>
      </c>
    </row>
    <row r="281" spans="1:4" x14ac:dyDescent="0.25">
      <c r="A281" t="str">
        <f>T("   BF")</f>
        <v xml:space="preserve">   BF</v>
      </c>
      <c r="B281" t="str">
        <f>T("   Burkina Faso")</f>
        <v xml:space="preserve">   Burkina Faso</v>
      </c>
      <c r="C281">
        <v>1200000</v>
      </c>
      <c r="D281">
        <v>20000</v>
      </c>
    </row>
    <row r="282" spans="1:4" x14ac:dyDescent="0.25">
      <c r="A282" t="str">
        <f>T("   NE")</f>
        <v xml:space="preserve">   NE</v>
      </c>
      <c r="B282" t="str">
        <f>T("   Niger")</f>
        <v xml:space="preserve">   Niger</v>
      </c>
      <c r="C282">
        <v>149540000</v>
      </c>
      <c r="D282">
        <v>1750000</v>
      </c>
    </row>
    <row r="283" spans="1:4" x14ac:dyDescent="0.25">
      <c r="A283" t="str">
        <f>T("230240")</f>
        <v>230240</v>
      </c>
      <c r="B283" t="str">
        <f>T("SONS, REMOULAGES ET AUTRES RÉSIDUS, MÊME AGGLOMÉRÉS SOUS FORME DE PELLETS, DU CRIBLAGE, DE LA MOUTURE OU D'AUTRES TRAITEMENTS DES CÉRÉALES (À L'EXCL. DU MAÏS OU DU FROMENT)")</f>
        <v>SONS, REMOULAGES ET AUTRES RÉSIDUS, MÊME AGGLOMÉRÉS SOUS FORME DE PELLETS, DU CRIBLAGE, DE LA MOUTURE OU D'AUTRES TRAITEMENTS DES CÉRÉALES (À L'EXCL. DU MAÏS OU DU FROMENT)</v>
      </c>
    </row>
    <row r="284" spans="1:4" x14ac:dyDescent="0.25">
      <c r="A284" t="str">
        <f>T("   ZZZ_Monde")</f>
        <v xml:space="preserve">   ZZZ_Monde</v>
      </c>
      <c r="B284" t="str">
        <f>T("   ZZZ_Monde")</f>
        <v xml:space="preserve">   ZZZ_Monde</v>
      </c>
      <c r="C284">
        <v>2200000</v>
      </c>
      <c r="D284">
        <v>38500</v>
      </c>
    </row>
    <row r="285" spans="1:4" x14ac:dyDescent="0.25">
      <c r="A285" t="str">
        <f>T("   BF")</f>
        <v xml:space="preserve">   BF</v>
      </c>
      <c r="B285" t="str">
        <f>T("   Burkina Faso")</f>
        <v xml:space="preserve">   Burkina Faso</v>
      </c>
      <c r="C285">
        <v>1250000</v>
      </c>
      <c r="D285">
        <v>25000</v>
      </c>
    </row>
    <row r="286" spans="1:4" x14ac:dyDescent="0.25">
      <c r="A286" t="str">
        <f>T("   GA")</f>
        <v xml:space="preserve">   GA</v>
      </c>
      <c r="B286" t="str">
        <f>T("   Gabon")</f>
        <v xml:space="preserve">   Gabon</v>
      </c>
      <c r="C286">
        <v>950000</v>
      </c>
      <c r="D286">
        <v>13500</v>
      </c>
    </row>
    <row r="287" spans="1:4" x14ac:dyDescent="0.25">
      <c r="A287" t="str">
        <f>T("230310")</f>
        <v>230310</v>
      </c>
      <c r="B287" t="str">
        <f>T("Résidus d'amidonnerie et résidus simil.")</f>
        <v>Résidus d'amidonnerie et résidus simil.</v>
      </c>
    </row>
    <row r="288" spans="1:4" x14ac:dyDescent="0.25">
      <c r="A288" t="str">
        <f>T("   ZZZ_Monde")</f>
        <v xml:space="preserve">   ZZZ_Monde</v>
      </c>
      <c r="B288" t="str">
        <f>T("   ZZZ_Monde")</f>
        <v xml:space="preserve">   ZZZ_Monde</v>
      </c>
      <c r="C288">
        <v>4800000</v>
      </c>
      <c r="D288">
        <v>30000</v>
      </c>
    </row>
    <row r="289" spans="1:4" x14ac:dyDescent="0.25">
      <c r="A289" t="str">
        <f>T("   GH")</f>
        <v xml:space="preserve">   GH</v>
      </c>
      <c r="B289" t="str">
        <f>T("   Ghana")</f>
        <v xml:space="preserve">   Ghana</v>
      </c>
      <c r="C289">
        <v>4800000</v>
      </c>
      <c r="D289">
        <v>30000</v>
      </c>
    </row>
    <row r="290" spans="1:4" x14ac:dyDescent="0.25">
      <c r="A290" t="str">
        <f>T("230400")</f>
        <v>230400</v>
      </c>
      <c r="B290" t="str">
        <f>T("Tourteaux et autres résidus solides, même broyés ou agglomérés sous forme de pellets, de l'extraction de l'huile de soja")</f>
        <v>Tourteaux et autres résidus solides, même broyés ou agglomérés sous forme de pellets, de l'extraction de l'huile de soja</v>
      </c>
    </row>
    <row r="291" spans="1:4" x14ac:dyDescent="0.25">
      <c r="A291" t="str">
        <f>T("   ZZZ_Monde")</f>
        <v xml:space="preserve">   ZZZ_Monde</v>
      </c>
      <c r="B291" t="str">
        <f>T("   ZZZ_Monde")</f>
        <v xml:space="preserve">   ZZZ_Monde</v>
      </c>
      <c r="C291">
        <v>774395682</v>
      </c>
      <c r="D291">
        <v>2888875</v>
      </c>
    </row>
    <row r="292" spans="1:4" x14ac:dyDescent="0.25">
      <c r="A292" t="str">
        <f>T("   BF")</f>
        <v xml:space="preserve">   BF</v>
      </c>
      <c r="B292" t="str">
        <f>T("   Burkina Faso")</f>
        <v xml:space="preserve">   Burkina Faso</v>
      </c>
      <c r="C292">
        <v>12250000</v>
      </c>
      <c r="D292">
        <v>70000</v>
      </c>
    </row>
    <row r="293" spans="1:4" x14ac:dyDescent="0.25">
      <c r="A293" t="str">
        <f>T("   CI")</f>
        <v xml:space="preserve">   CI</v>
      </c>
      <c r="B293" t="str">
        <f>T("   Côte d'Ivoire")</f>
        <v xml:space="preserve">   Côte d'Ivoire</v>
      </c>
      <c r="C293">
        <v>310510000</v>
      </c>
      <c r="D293">
        <v>1052000</v>
      </c>
    </row>
    <row r="294" spans="1:4" x14ac:dyDescent="0.25">
      <c r="A294" t="str">
        <f>T("   CM")</f>
        <v xml:space="preserve">   CM</v>
      </c>
      <c r="B294" t="str">
        <f>T("   Cameroun")</f>
        <v xml:space="preserve">   Cameroun</v>
      </c>
      <c r="C294">
        <v>18221414</v>
      </c>
      <c r="D294">
        <v>99208</v>
      </c>
    </row>
    <row r="295" spans="1:4" x14ac:dyDescent="0.25">
      <c r="A295" t="str">
        <f>T("   GA")</f>
        <v xml:space="preserve">   GA</v>
      </c>
      <c r="B295" t="str">
        <f>T("   Gabon")</f>
        <v xml:space="preserve">   Gabon</v>
      </c>
      <c r="C295">
        <v>132196413</v>
      </c>
      <c r="D295">
        <v>620096</v>
      </c>
    </row>
    <row r="296" spans="1:4" x14ac:dyDescent="0.25">
      <c r="A296" t="str">
        <f>T("   GH")</f>
        <v xml:space="preserve">   GH</v>
      </c>
      <c r="B296" t="str">
        <f>T("   Ghana")</f>
        <v xml:space="preserve">   Ghana</v>
      </c>
      <c r="C296">
        <v>264617855</v>
      </c>
      <c r="D296">
        <v>927571</v>
      </c>
    </row>
    <row r="297" spans="1:4" x14ac:dyDescent="0.25">
      <c r="A297" t="str">
        <f>T("   TG")</f>
        <v xml:space="preserve">   TG</v>
      </c>
      <c r="B297" t="str">
        <f>T("   Togo")</f>
        <v xml:space="preserve">   Togo</v>
      </c>
      <c r="C297">
        <v>36600000</v>
      </c>
      <c r="D297">
        <v>120000</v>
      </c>
    </row>
    <row r="298" spans="1:4" x14ac:dyDescent="0.25">
      <c r="A298" t="str">
        <f>T("230610")</f>
        <v>230610</v>
      </c>
      <c r="B298" t="str">
        <f>T("Tourteaux et autres résidus solides, même broyés ou agglomérés sous forme de pellets, de l'extraction des graisses ou huiles de coton")</f>
        <v>Tourteaux et autres résidus solides, même broyés ou agglomérés sous forme de pellets, de l'extraction des graisses ou huiles de coton</v>
      </c>
    </row>
    <row r="299" spans="1:4" x14ac:dyDescent="0.25">
      <c r="A299" t="str">
        <f>T("   ZZZ_Monde")</f>
        <v xml:space="preserve">   ZZZ_Monde</v>
      </c>
      <c r="B299" t="str">
        <f>T("   ZZZ_Monde")</f>
        <v xml:space="preserve">   ZZZ_Monde</v>
      </c>
      <c r="C299">
        <v>1898112854</v>
      </c>
      <c r="D299">
        <v>14506738</v>
      </c>
    </row>
    <row r="300" spans="1:4" x14ac:dyDescent="0.25">
      <c r="A300" t="str">
        <f>T("   BF")</f>
        <v xml:space="preserve">   BF</v>
      </c>
      <c r="B300" t="str">
        <f>T("   Burkina Faso")</f>
        <v xml:space="preserve">   Burkina Faso</v>
      </c>
      <c r="C300">
        <v>8990100</v>
      </c>
      <c r="D300">
        <v>59934</v>
      </c>
    </row>
    <row r="301" spans="1:4" x14ac:dyDescent="0.25">
      <c r="A301" t="str">
        <f>T("   CI")</f>
        <v xml:space="preserve">   CI</v>
      </c>
      <c r="B301" t="str">
        <f>T("   Côte d'Ivoire")</f>
        <v xml:space="preserve">   Côte d'Ivoire</v>
      </c>
      <c r="C301">
        <v>629147795</v>
      </c>
      <c r="D301">
        <v>4100460</v>
      </c>
    </row>
    <row r="302" spans="1:4" x14ac:dyDescent="0.25">
      <c r="A302" t="str">
        <f>T("   GH")</f>
        <v xml:space="preserve">   GH</v>
      </c>
      <c r="B302" t="str">
        <f>T("   Ghana")</f>
        <v xml:space="preserve">   Ghana</v>
      </c>
      <c r="C302">
        <v>807087805</v>
      </c>
      <c r="D302">
        <v>4797066</v>
      </c>
    </row>
    <row r="303" spans="1:4" x14ac:dyDescent="0.25">
      <c r="A303" t="str">
        <f>T("   TG")</f>
        <v xml:space="preserve">   TG</v>
      </c>
      <c r="B303" t="str">
        <f>T("   Togo")</f>
        <v xml:space="preserve">   Togo</v>
      </c>
      <c r="C303">
        <v>89204145</v>
      </c>
      <c r="D303">
        <v>579940</v>
      </c>
    </row>
    <row r="304" spans="1:4" x14ac:dyDescent="0.25">
      <c r="A304" t="str">
        <f>T("   ZA")</f>
        <v xml:space="preserve">   ZA</v>
      </c>
      <c r="B304" t="str">
        <f>T("   Afrique du Sud")</f>
        <v xml:space="preserve">   Afrique du Sud</v>
      </c>
      <c r="C304">
        <v>363683009</v>
      </c>
      <c r="D304">
        <v>4969338</v>
      </c>
    </row>
    <row r="305" spans="1:4" x14ac:dyDescent="0.25">
      <c r="A305" t="str">
        <f>T("230649")</f>
        <v>230649</v>
      </c>
      <c r="B305" t="str">
        <f>T("TOURTEAUX ET AUTRES RÉSIDUS SOLIDES, MÊME BROYÉS OU AGGLOMÉRÉS SOUS FORME DE PELLETS, DE L'EXTRACTION DES GRAISSES OU HUILES DE NAVETTE OU DE COLZA D'UNE TENEUR ÉLEVÉE EN ACIDE ÉRUCIQUE 'FOURNISSANT UNE HUILE FIXE DONT LA TENEUR EN ACIDE ÉRUCIQUE EST &gt;= 2")</f>
        <v>TOURTEAUX ET AUTRES RÉSIDUS SOLIDES, MÊME BROYÉS OU AGGLOMÉRÉS SOUS FORME DE PELLETS, DE L'EXTRACTION DES GRAISSES OU HUILES DE NAVETTE OU DE COLZA D'UNE TENEUR ÉLEVÉE EN ACIDE ÉRUCIQUE 'FOURNISSANT UNE HUILE FIXE DONT LA TENEUR EN ACIDE ÉRUCIQUE EST &gt;= 2</v>
      </c>
    </row>
    <row r="306" spans="1:4" x14ac:dyDescent="0.25">
      <c r="A306" t="str">
        <f>T("   ZZZ_Monde")</f>
        <v xml:space="preserve">   ZZZ_Monde</v>
      </c>
      <c r="B306" t="str">
        <f>T("   ZZZ_Monde")</f>
        <v xml:space="preserve">   ZZZ_Monde</v>
      </c>
      <c r="C306">
        <v>18300000</v>
      </c>
      <c r="D306">
        <v>60000</v>
      </c>
    </row>
    <row r="307" spans="1:4" x14ac:dyDescent="0.25">
      <c r="A307" t="str">
        <f>T("   CI")</f>
        <v xml:space="preserve">   CI</v>
      </c>
      <c r="B307" t="str">
        <f>T("   Côte d'Ivoire")</f>
        <v xml:space="preserve">   Côte d'Ivoire</v>
      </c>
      <c r="C307">
        <v>18300000</v>
      </c>
      <c r="D307">
        <v>60000</v>
      </c>
    </row>
    <row r="308" spans="1:4" x14ac:dyDescent="0.25">
      <c r="A308" t="str">
        <f>T("230690")</f>
        <v>230690</v>
      </c>
      <c r="B308" t="str">
        <f>T("Tourteaux et autres résidus solides, même broyés ou agglomérés sous forme de pellets, de l'extraction de graisses ou huiles végétales (à l'excl. des tourteaux et autres résidus solides de l'extraction des graisses ou huiles de soja, d'arachide, de coton,")</f>
        <v>Tourteaux et autres résidus solides, même broyés ou agglomérés sous forme de pellets, de l'extraction de graisses ou huiles végétales (à l'excl. des tourteaux et autres résidus solides de l'extraction des graisses ou huiles de soja, d'arachide, de coton,</v>
      </c>
    </row>
    <row r="309" spans="1:4" x14ac:dyDescent="0.25">
      <c r="A309" t="str">
        <f>T("   ZZZ_Monde")</f>
        <v xml:space="preserve">   ZZZ_Monde</v>
      </c>
      <c r="B309" t="str">
        <f>T("   ZZZ_Monde")</f>
        <v xml:space="preserve">   ZZZ_Monde</v>
      </c>
      <c r="C309">
        <v>43529365</v>
      </c>
      <c r="D309">
        <v>839971</v>
      </c>
    </row>
    <row r="310" spans="1:4" x14ac:dyDescent="0.25">
      <c r="A310" t="str">
        <f>T("   IN")</f>
        <v xml:space="preserve">   IN</v>
      </c>
      <c r="B310" t="str">
        <f>T("   Inde")</f>
        <v xml:space="preserve">   Inde</v>
      </c>
      <c r="C310">
        <v>414925</v>
      </c>
      <c r="D310">
        <v>17690</v>
      </c>
    </row>
    <row r="311" spans="1:4" x14ac:dyDescent="0.25">
      <c r="A311" t="str">
        <f>T("   TR")</f>
        <v xml:space="preserve">   TR</v>
      </c>
      <c r="B311" t="str">
        <f>T("   Turquie")</f>
        <v xml:space="preserve">   Turquie</v>
      </c>
      <c r="C311">
        <v>42699419</v>
      </c>
      <c r="D311">
        <v>804965</v>
      </c>
    </row>
    <row r="312" spans="1:4" x14ac:dyDescent="0.25">
      <c r="A312" t="str">
        <f>T("   ZA")</f>
        <v xml:space="preserve">   ZA</v>
      </c>
      <c r="B312" t="str">
        <f>T("   Afrique du Sud")</f>
        <v xml:space="preserve">   Afrique du Sud</v>
      </c>
      <c r="C312">
        <v>415021</v>
      </c>
      <c r="D312">
        <v>17316</v>
      </c>
    </row>
    <row r="313" spans="1:4" x14ac:dyDescent="0.25">
      <c r="A313" t="str">
        <f>T("240220")</f>
        <v>240220</v>
      </c>
      <c r="B313" t="str">
        <f>T("Cigarettes contenant du tabac")</f>
        <v>Cigarettes contenant du tabac</v>
      </c>
    </row>
    <row r="314" spans="1:4" x14ac:dyDescent="0.25">
      <c r="A314" t="str">
        <f>T("   ZZZ_Monde")</f>
        <v xml:space="preserve">   ZZZ_Monde</v>
      </c>
      <c r="B314" t="str">
        <f>T("   ZZZ_Monde")</f>
        <v xml:space="preserve">   ZZZ_Monde</v>
      </c>
      <c r="C314">
        <v>293006007</v>
      </c>
      <c r="D314">
        <v>262134</v>
      </c>
    </row>
    <row r="315" spans="1:4" x14ac:dyDescent="0.25">
      <c r="A315" t="str">
        <f>T("   LY")</f>
        <v xml:space="preserve">   LY</v>
      </c>
      <c r="B315" t="str">
        <f>T("   Libyenne, Jamahiriya Arabe")</f>
        <v xml:space="preserve">   Libyenne, Jamahiriya Arabe</v>
      </c>
      <c r="C315">
        <v>293006007</v>
      </c>
      <c r="D315">
        <v>262134</v>
      </c>
    </row>
    <row r="316" spans="1:4" x14ac:dyDescent="0.25">
      <c r="A316" t="str">
        <f>T("251200")</f>
        <v>251200</v>
      </c>
      <c r="B316" t="str">
        <f>T("Farines siliceuses fossiles [kieselguhr, tripolite, diatomite, par exemple] et autres terres siliceuses analogues, d'une densité apparente &lt;= 1, même calcinées")</f>
        <v>Farines siliceuses fossiles [kieselguhr, tripolite, diatomite, par exemple] et autres terres siliceuses analogues, d'une densité apparente &lt;= 1, même calcinées</v>
      </c>
    </row>
    <row r="317" spans="1:4" x14ac:dyDescent="0.25">
      <c r="A317" t="str">
        <f>T("   ZZZ_Monde")</f>
        <v xml:space="preserve">   ZZZ_Monde</v>
      </c>
      <c r="B317" t="str">
        <f>T("   ZZZ_Monde")</f>
        <v xml:space="preserve">   ZZZ_Monde</v>
      </c>
      <c r="C317">
        <v>80428</v>
      </c>
      <c r="D317">
        <v>100</v>
      </c>
    </row>
    <row r="318" spans="1:4" x14ac:dyDescent="0.25">
      <c r="A318" t="str">
        <f>T("   TG")</f>
        <v xml:space="preserve">   TG</v>
      </c>
      <c r="B318" t="str">
        <f>T("   Togo")</f>
        <v xml:space="preserve">   Togo</v>
      </c>
      <c r="C318">
        <v>80428</v>
      </c>
      <c r="D318">
        <v>100</v>
      </c>
    </row>
    <row r="319" spans="1:4" x14ac:dyDescent="0.25">
      <c r="A319" t="str">
        <f>T("251319")</f>
        <v>251319</v>
      </c>
      <c r="B319" t="str">
        <f>T("Pierre ponce, broyée ou pulvérisée")</f>
        <v>Pierre ponce, broyée ou pulvérisée</v>
      </c>
    </row>
    <row r="320" spans="1:4" x14ac:dyDescent="0.25">
      <c r="A320" t="str">
        <f>T("   ZZZ_Monde")</f>
        <v xml:space="preserve">   ZZZ_Monde</v>
      </c>
      <c r="B320" t="str">
        <f>T("   ZZZ_Monde")</f>
        <v xml:space="preserve">   ZZZ_Monde</v>
      </c>
      <c r="C320">
        <v>6000000</v>
      </c>
      <c r="D320">
        <v>191386</v>
      </c>
    </row>
    <row r="321" spans="1:4" x14ac:dyDescent="0.25">
      <c r="A321" t="str">
        <f>T("   CI")</f>
        <v xml:space="preserve">   CI</v>
      </c>
      <c r="B321" t="str">
        <f>T("   Côte d'Ivoire")</f>
        <v xml:space="preserve">   Côte d'Ivoire</v>
      </c>
      <c r="C321">
        <v>6000000</v>
      </c>
      <c r="D321">
        <v>191386</v>
      </c>
    </row>
    <row r="322" spans="1:4" x14ac:dyDescent="0.25">
      <c r="A322" t="str">
        <f>T("251520")</f>
        <v>251520</v>
      </c>
      <c r="B322" t="str">
        <f>T("Ecaussines et autres pierres calcaires de taille ou de construction, d'une densité apparente &gt;= 2,5, et albâtre, même dégrossis ou simplement débités, par sciage ou autrement, en blocs ou en plaques de forme carrée ou rectangulaire (à l'excl. des marbres")</f>
        <v>Ecaussines et autres pierres calcaires de taille ou de construction, d'une densité apparente &gt;= 2,5, et albâtre, même dégrossis ou simplement débités, par sciage ou autrement, en blocs ou en plaques de forme carrée ou rectangulaire (à l'excl. des marbres</v>
      </c>
    </row>
    <row r="323" spans="1:4" x14ac:dyDescent="0.25">
      <c r="A323" t="str">
        <f>T("   ZZZ_Monde")</f>
        <v xml:space="preserve">   ZZZ_Monde</v>
      </c>
      <c r="B323" t="str">
        <f>T("   ZZZ_Monde")</f>
        <v xml:space="preserve">   ZZZ_Monde</v>
      </c>
      <c r="C323">
        <v>166850843</v>
      </c>
      <c r="D323">
        <v>10887518</v>
      </c>
    </row>
    <row r="324" spans="1:4" x14ac:dyDescent="0.25">
      <c r="A324" t="str">
        <f>T("   TG")</f>
        <v xml:space="preserve">   TG</v>
      </c>
      <c r="B324" t="str">
        <f>T("   Togo")</f>
        <v xml:space="preserve">   Togo</v>
      </c>
      <c r="C324">
        <v>166850843</v>
      </c>
      <c r="D324">
        <v>10887518</v>
      </c>
    </row>
    <row r="325" spans="1:4" x14ac:dyDescent="0.25">
      <c r="A325" t="str">
        <f>T("251690")</f>
        <v>251690</v>
      </c>
      <c r="B325" t="str">
        <f>T("Porphyre, basalte et autres pierres de taille ou de construction, même dégrossis ou simplement débités, en blocs ou en plaques de forme carrée ou rectangulaire (sauf granit, grès, pierres présentées sous la forme de granulés, d'éclats ou de poudres, pierr")</f>
        <v>Porphyre, basalte et autres pierres de taille ou de construction, même dégrossis ou simplement débités, en blocs ou en plaques de forme carrée ou rectangulaire (sauf granit, grès, pierres présentées sous la forme de granulés, d'éclats ou de poudres, pierr</v>
      </c>
    </row>
    <row r="326" spans="1:4" x14ac:dyDescent="0.25">
      <c r="A326" t="str">
        <f>T("   ZZZ_Monde")</f>
        <v xml:space="preserve">   ZZZ_Monde</v>
      </c>
      <c r="B326" t="str">
        <f>T("   ZZZ_Monde")</f>
        <v xml:space="preserve">   ZZZ_Monde</v>
      </c>
      <c r="C326">
        <v>7651082</v>
      </c>
      <c r="D326">
        <v>55040</v>
      </c>
    </row>
    <row r="327" spans="1:4" x14ac:dyDescent="0.25">
      <c r="A327" t="str">
        <f>T("   FR")</f>
        <v xml:space="preserve">   FR</v>
      </c>
      <c r="B327" t="str">
        <f>T("   France")</f>
        <v xml:space="preserve">   France</v>
      </c>
      <c r="C327">
        <v>7651082</v>
      </c>
      <c r="D327">
        <v>55040</v>
      </c>
    </row>
    <row r="328" spans="1:4" x14ac:dyDescent="0.25">
      <c r="A328" t="str">
        <f>T("251710")</f>
        <v>251710</v>
      </c>
      <c r="B328" t="str">
        <f>T("Cailloux, graviers, pierres concassées, des types généralement utilisés pour le bétonnage ou pour l'empierrement des routes, des voies ferrées ou autres ballasts, galets et silex, même traités thermiquement")</f>
        <v>Cailloux, graviers, pierres concassées, des types généralement utilisés pour le bétonnage ou pour l'empierrement des routes, des voies ferrées ou autres ballasts, galets et silex, même traités thermiquement</v>
      </c>
    </row>
    <row r="329" spans="1:4" x14ac:dyDescent="0.25">
      <c r="A329" t="str">
        <f>T("   ZZZ_Monde")</f>
        <v xml:space="preserve">   ZZZ_Monde</v>
      </c>
      <c r="B329" t="str">
        <f>T("   ZZZ_Monde")</f>
        <v xml:space="preserve">   ZZZ_Monde</v>
      </c>
      <c r="C329">
        <v>300000</v>
      </c>
      <c r="D329">
        <v>12500</v>
      </c>
    </row>
    <row r="330" spans="1:4" x14ac:dyDescent="0.25">
      <c r="A330" t="str">
        <f>T("   TG")</f>
        <v xml:space="preserve">   TG</v>
      </c>
      <c r="B330" t="str">
        <f>T("   Togo")</f>
        <v xml:space="preserve">   Togo</v>
      </c>
      <c r="C330">
        <v>300000</v>
      </c>
      <c r="D330">
        <v>12500</v>
      </c>
    </row>
    <row r="331" spans="1:4" x14ac:dyDescent="0.25">
      <c r="A331" t="str">
        <f>T("271019")</f>
        <v>271019</v>
      </c>
      <c r="B331" t="str">
        <f>T("Huiles moyennes et préparations, de pétrole ou de minéraux bitumineux, n.d.a.")</f>
        <v>Huiles moyennes et préparations, de pétrole ou de minéraux bitumineux, n.d.a.</v>
      </c>
    </row>
    <row r="332" spans="1:4" x14ac:dyDescent="0.25">
      <c r="A332" t="str">
        <f>T("   ZZZ_Monde")</f>
        <v xml:space="preserve">   ZZZ_Monde</v>
      </c>
      <c r="B332" t="str">
        <f>T("   ZZZ_Monde")</f>
        <v xml:space="preserve">   ZZZ_Monde</v>
      </c>
      <c r="C332">
        <v>237092718</v>
      </c>
      <c r="D332">
        <v>457546</v>
      </c>
    </row>
    <row r="333" spans="1:4" x14ac:dyDescent="0.25">
      <c r="A333" t="str">
        <f>T("   BF")</f>
        <v xml:space="preserve">   BF</v>
      </c>
      <c r="B333" t="str">
        <f>T("   Burkina Faso")</f>
        <v xml:space="preserve">   Burkina Faso</v>
      </c>
      <c r="C333">
        <v>21438320</v>
      </c>
      <c r="D333">
        <v>18246</v>
      </c>
    </row>
    <row r="334" spans="1:4" x14ac:dyDescent="0.25">
      <c r="A334" t="str">
        <f>T("   CI")</f>
        <v xml:space="preserve">   CI</v>
      </c>
      <c r="B334" t="str">
        <f>T("   Côte d'Ivoire")</f>
        <v xml:space="preserve">   Côte d'Ivoire</v>
      </c>
      <c r="C334">
        <v>54715873</v>
      </c>
      <c r="D334">
        <v>105674</v>
      </c>
    </row>
    <row r="335" spans="1:4" x14ac:dyDescent="0.25">
      <c r="A335" t="str">
        <f>T("   NG")</f>
        <v xml:space="preserve">   NG</v>
      </c>
      <c r="B335" t="str">
        <f>T("   Nigéria")</f>
        <v xml:space="preserve">   Nigéria</v>
      </c>
      <c r="C335">
        <v>38845856</v>
      </c>
      <c r="D335">
        <v>87595</v>
      </c>
    </row>
    <row r="336" spans="1:4" x14ac:dyDescent="0.25">
      <c r="A336" t="str">
        <f>T("   TG")</f>
        <v xml:space="preserve">   TG</v>
      </c>
      <c r="B336" t="str">
        <f>T("   Togo")</f>
        <v xml:space="preserve">   Togo</v>
      </c>
      <c r="C336">
        <v>1906996</v>
      </c>
      <c r="D336">
        <v>796</v>
      </c>
    </row>
    <row r="337" spans="1:4" x14ac:dyDescent="0.25">
      <c r="A337" t="str">
        <f>T("   ZA")</f>
        <v xml:space="preserve">   ZA</v>
      </c>
      <c r="B337" t="str">
        <f>T("   Afrique du Sud")</f>
        <v xml:space="preserve">   Afrique du Sud</v>
      </c>
      <c r="C337">
        <v>120185673</v>
      </c>
      <c r="D337">
        <v>245235</v>
      </c>
    </row>
    <row r="338" spans="1:4" x14ac:dyDescent="0.25">
      <c r="A338" t="str">
        <f>T("271320")</f>
        <v>271320</v>
      </c>
      <c r="B338" t="str">
        <f>T("Bitume de pétrole")</f>
        <v>Bitume de pétrole</v>
      </c>
    </row>
    <row r="339" spans="1:4" x14ac:dyDescent="0.25">
      <c r="A339" t="str">
        <f>T("   ZZZ_Monde")</f>
        <v xml:space="preserve">   ZZZ_Monde</v>
      </c>
      <c r="B339" t="str">
        <f>T("   ZZZ_Monde")</f>
        <v xml:space="preserve">   ZZZ_Monde</v>
      </c>
      <c r="C339">
        <v>102833600</v>
      </c>
      <c r="D339">
        <v>212528</v>
      </c>
    </row>
    <row r="340" spans="1:4" x14ac:dyDescent="0.25">
      <c r="A340" t="str">
        <f>T("   CI")</f>
        <v xml:space="preserve">   CI</v>
      </c>
      <c r="B340" t="str">
        <f>T("   Côte d'Ivoire")</f>
        <v xml:space="preserve">   Côte d'Ivoire</v>
      </c>
      <c r="C340">
        <v>4260000</v>
      </c>
      <c r="D340">
        <v>10000</v>
      </c>
    </row>
    <row r="341" spans="1:4" x14ac:dyDescent="0.25">
      <c r="A341" t="str">
        <f>T("   GA")</f>
        <v xml:space="preserve">   GA</v>
      </c>
      <c r="B341" t="str">
        <f>T("   Gabon")</f>
        <v xml:space="preserve">   Gabon</v>
      </c>
      <c r="C341">
        <v>87829600</v>
      </c>
      <c r="D341">
        <v>174528</v>
      </c>
    </row>
    <row r="342" spans="1:4" x14ac:dyDescent="0.25">
      <c r="A342" t="str">
        <f>T("   GH")</f>
        <v xml:space="preserve">   GH</v>
      </c>
      <c r="B342" t="str">
        <f>T("   Ghana")</f>
        <v xml:space="preserve">   Ghana</v>
      </c>
      <c r="C342">
        <v>2224000</v>
      </c>
      <c r="D342">
        <v>8000</v>
      </c>
    </row>
    <row r="343" spans="1:4" x14ac:dyDescent="0.25">
      <c r="A343" t="str">
        <f>T("   TG")</f>
        <v xml:space="preserve">   TG</v>
      </c>
      <c r="B343" t="str">
        <f>T("   Togo")</f>
        <v xml:space="preserve">   Togo</v>
      </c>
      <c r="C343">
        <v>8520000</v>
      </c>
      <c r="D343">
        <v>20000</v>
      </c>
    </row>
    <row r="344" spans="1:4" x14ac:dyDescent="0.25">
      <c r="A344" t="str">
        <f>T("271390")</f>
        <v>271390</v>
      </c>
      <c r="B344" t="str">
        <f>T("Résidus des huiles de pétrole ou de minéraux bitumineux (à l'excl. du coke de pétrole et du bitume de pétrole)")</f>
        <v>Résidus des huiles de pétrole ou de minéraux bitumineux (à l'excl. du coke de pétrole et du bitume de pétrole)</v>
      </c>
    </row>
    <row r="345" spans="1:4" x14ac:dyDescent="0.25">
      <c r="A345" t="str">
        <f>T("   ZZZ_Monde")</f>
        <v xml:space="preserve">   ZZZ_Monde</v>
      </c>
      <c r="B345" t="str">
        <f>T("   ZZZ_Monde")</f>
        <v xml:space="preserve">   ZZZ_Monde</v>
      </c>
      <c r="C345">
        <v>1320000</v>
      </c>
      <c r="D345">
        <v>11000</v>
      </c>
    </row>
    <row r="346" spans="1:4" x14ac:dyDescent="0.25">
      <c r="A346" t="str">
        <f>T("   GA")</f>
        <v xml:space="preserve">   GA</v>
      </c>
      <c r="B346" t="str">
        <f>T("   Gabon")</f>
        <v xml:space="preserve">   Gabon</v>
      </c>
      <c r="C346">
        <v>1320000</v>
      </c>
      <c r="D346">
        <v>11000</v>
      </c>
    </row>
    <row r="347" spans="1:4" x14ac:dyDescent="0.25">
      <c r="A347" t="str">
        <f>T("281122")</f>
        <v>281122</v>
      </c>
      <c r="B347" t="str">
        <f>T("Dioxyde de silicium")</f>
        <v>Dioxyde de silicium</v>
      </c>
    </row>
    <row r="348" spans="1:4" x14ac:dyDescent="0.25">
      <c r="A348" t="str">
        <f>T("   ZZZ_Monde")</f>
        <v xml:space="preserve">   ZZZ_Monde</v>
      </c>
      <c r="B348" t="str">
        <f>T("   ZZZ_Monde")</f>
        <v xml:space="preserve">   ZZZ_Monde</v>
      </c>
      <c r="C348">
        <v>9000000</v>
      </c>
      <c r="D348">
        <v>6000</v>
      </c>
    </row>
    <row r="349" spans="1:4" x14ac:dyDescent="0.25">
      <c r="A349" t="str">
        <f>T("   TG")</f>
        <v xml:space="preserve">   TG</v>
      </c>
      <c r="B349" t="str">
        <f>T("   Togo")</f>
        <v xml:space="preserve">   Togo</v>
      </c>
      <c r="C349">
        <v>9000000</v>
      </c>
      <c r="D349">
        <v>6000</v>
      </c>
    </row>
    <row r="350" spans="1:4" x14ac:dyDescent="0.25">
      <c r="A350" t="str">
        <f>T("294200")</f>
        <v>294200</v>
      </c>
      <c r="B350" t="str">
        <f>T("Composés organiques de constitution chimique définie présentés isolément, n.d.a.")</f>
        <v>Composés organiques de constitution chimique définie présentés isolément, n.d.a.</v>
      </c>
    </row>
    <row r="351" spans="1:4" x14ac:dyDescent="0.25">
      <c r="A351" t="str">
        <f>T("   ZZZ_Monde")</f>
        <v xml:space="preserve">   ZZZ_Monde</v>
      </c>
      <c r="B351" t="str">
        <f>T("   ZZZ_Monde")</f>
        <v xml:space="preserve">   ZZZ_Monde</v>
      </c>
      <c r="C351">
        <v>1380000</v>
      </c>
      <c r="D351">
        <v>400</v>
      </c>
    </row>
    <row r="352" spans="1:4" x14ac:dyDescent="0.25">
      <c r="A352" t="str">
        <f>T("   GA")</f>
        <v xml:space="preserve">   GA</v>
      </c>
      <c r="B352" t="str">
        <f>T("   Gabon")</f>
        <v xml:space="preserve">   Gabon</v>
      </c>
      <c r="C352">
        <v>1380000</v>
      </c>
      <c r="D352">
        <v>400</v>
      </c>
    </row>
    <row r="353" spans="1:4" x14ac:dyDescent="0.25">
      <c r="A353" t="str">
        <f>T("300390")</f>
        <v>300390</v>
      </c>
      <c r="B353" t="str">
        <f>T("Médicaments constitués par des produits mélangés entre eux, préparés à des fins thérapeutiques ou prophylactiques, mais ni présentés sous forme de doses, ni conditionnés pour la vente au détail (sauf produits du n° 3002, 3005 ou 3006, médicaments contenan")</f>
        <v>Médicaments constitués par des produits mélangés entre eux, préparés à des fins thérapeutiques ou prophylactiques, mais ni présentés sous forme de doses, ni conditionnés pour la vente au détail (sauf produits du n° 3002, 3005 ou 3006, médicaments contenan</v>
      </c>
    </row>
    <row r="354" spans="1:4" x14ac:dyDescent="0.25">
      <c r="A354" t="str">
        <f>T("   ZZZ_Monde")</f>
        <v xml:space="preserve">   ZZZ_Monde</v>
      </c>
      <c r="B354" t="str">
        <f>T("   ZZZ_Monde")</f>
        <v xml:space="preserve">   ZZZ_Monde</v>
      </c>
      <c r="C354">
        <v>486278005</v>
      </c>
      <c r="D354">
        <v>36015</v>
      </c>
    </row>
    <row r="355" spans="1:4" x14ac:dyDescent="0.25">
      <c r="A355" t="str">
        <f>T("   CM")</f>
        <v xml:space="preserve">   CM</v>
      </c>
      <c r="B355" t="str">
        <f>T("   Cameroun")</f>
        <v xml:space="preserve">   Cameroun</v>
      </c>
      <c r="C355">
        <v>486178005</v>
      </c>
      <c r="D355">
        <v>35015</v>
      </c>
    </row>
    <row r="356" spans="1:4" x14ac:dyDescent="0.25">
      <c r="A356" t="str">
        <f>T("   GA")</f>
        <v xml:space="preserve">   GA</v>
      </c>
      <c r="B356" t="str">
        <f>T("   Gabon")</f>
        <v xml:space="preserve">   Gabon</v>
      </c>
      <c r="C356">
        <v>100000</v>
      </c>
      <c r="D356">
        <v>1000</v>
      </c>
    </row>
    <row r="357" spans="1:4" x14ac:dyDescent="0.25">
      <c r="A357" t="str">
        <f>T("300450")</f>
        <v>300450</v>
      </c>
      <c r="B357" t="str">
        <f>T("Médicaments contenant des provitamines, des vitamines, y.c. les concentrats naturels, ou des dérivés de ces produits utilisés principalement en tant que vitamines, présentés sous forme de doses [y.c. ceux destinés à être administrés par voie percutanée] o")</f>
        <v>Médicaments contenant des provitamines, des vitamines, y.c. les concentrats naturels, ou des dérivés de ces produits utilisés principalement en tant que vitamines, présentés sous forme de doses [y.c. ceux destinés à être administrés par voie percutanée] o</v>
      </c>
    </row>
    <row r="358" spans="1:4" x14ac:dyDescent="0.25">
      <c r="A358" t="str">
        <f>T("   ZZZ_Monde")</f>
        <v xml:space="preserve">   ZZZ_Monde</v>
      </c>
      <c r="B358" t="str">
        <f>T("   ZZZ_Monde")</f>
        <v xml:space="preserve">   ZZZ_Monde</v>
      </c>
      <c r="C358">
        <v>34318133</v>
      </c>
      <c r="D358">
        <v>5000</v>
      </c>
    </row>
    <row r="359" spans="1:4" x14ac:dyDescent="0.25">
      <c r="A359" t="str">
        <f>T("   GQ")</f>
        <v xml:space="preserve">   GQ</v>
      </c>
      <c r="B359" t="str">
        <f>T("   Guinée Equatoriale")</f>
        <v xml:space="preserve">   Guinée Equatoriale</v>
      </c>
      <c r="C359">
        <v>34318133</v>
      </c>
      <c r="D359">
        <v>5000</v>
      </c>
    </row>
    <row r="360" spans="1:4" x14ac:dyDescent="0.25">
      <c r="A360" t="str">
        <f>T("300490")</f>
        <v>300490</v>
      </c>
      <c r="B360" t="str">
        <f>T("Médicaments constitués par des produits mélangés ou non, préparés à des fins thérapeutiques ou prophylactiques, présentés sous forme de doses [y.c. ceux destinés à être administrés par voie percutanée] ou conditionnés pour la vente au détail (à l'excl. de")</f>
        <v>Médicaments constitués par des produits mélangés ou non, préparés à des fins thérapeutiques ou prophylactiques, présentés sous forme de doses [y.c. ceux destinés à être administrés par voie percutanée] ou conditionnés pour la vente au détail (à l'excl. de</v>
      </c>
    </row>
    <row r="361" spans="1:4" x14ac:dyDescent="0.25">
      <c r="A361" t="str">
        <f>T("   ZZZ_Monde")</f>
        <v xml:space="preserve">   ZZZ_Monde</v>
      </c>
      <c r="B361" t="str">
        <f>T("   ZZZ_Monde")</f>
        <v xml:space="preserve">   ZZZ_Monde</v>
      </c>
      <c r="C361">
        <v>210400439</v>
      </c>
      <c r="D361">
        <v>18430</v>
      </c>
    </row>
    <row r="362" spans="1:4" x14ac:dyDescent="0.25">
      <c r="A362" t="str">
        <f>T("   BE")</f>
        <v xml:space="preserve">   BE</v>
      </c>
      <c r="B362" t="str">
        <f>T("   Belgique")</f>
        <v xml:space="preserve">   Belgique</v>
      </c>
      <c r="C362">
        <v>40500000</v>
      </c>
      <c r="D362">
        <v>2400</v>
      </c>
    </row>
    <row r="363" spans="1:4" x14ac:dyDescent="0.25">
      <c r="A363" t="str">
        <f>T("   BF")</f>
        <v xml:space="preserve">   BF</v>
      </c>
      <c r="B363" t="str">
        <f>T("   Burkina Faso")</f>
        <v xml:space="preserve">   Burkina Faso</v>
      </c>
      <c r="C363">
        <v>17100000</v>
      </c>
      <c r="D363">
        <v>1070</v>
      </c>
    </row>
    <row r="364" spans="1:4" x14ac:dyDescent="0.25">
      <c r="A364" t="str">
        <f>T("   CM")</f>
        <v xml:space="preserve">   CM</v>
      </c>
      <c r="B364" t="str">
        <f>T("   Cameroun")</f>
        <v xml:space="preserve">   Cameroun</v>
      </c>
      <c r="C364">
        <v>10345000</v>
      </c>
      <c r="D364">
        <v>2530</v>
      </c>
    </row>
    <row r="365" spans="1:4" x14ac:dyDescent="0.25">
      <c r="A365" t="str">
        <f>T("   GH")</f>
        <v xml:space="preserve">   GH</v>
      </c>
      <c r="B365" t="str">
        <f>T("   Ghana")</f>
        <v xml:space="preserve">   Ghana</v>
      </c>
      <c r="C365">
        <v>84525530</v>
      </c>
      <c r="D365">
        <v>6364</v>
      </c>
    </row>
    <row r="366" spans="1:4" x14ac:dyDescent="0.25">
      <c r="A366" t="str">
        <f>T("   GQ")</f>
        <v xml:space="preserve">   GQ</v>
      </c>
      <c r="B366" t="str">
        <f>T("   Guinée Equatoriale")</f>
        <v xml:space="preserve">   Guinée Equatoriale</v>
      </c>
      <c r="C366">
        <v>25999000</v>
      </c>
      <c r="D366">
        <v>2360</v>
      </c>
    </row>
    <row r="367" spans="1:4" x14ac:dyDescent="0.25">
      <c r="A367" t="str">
        <f>T("   TG")</f>
        <v xml:space="preserve">   TG</v>
      </c>
      <c r="B367" t="str">
        <f>T("   Togo")</f>
        <v xml:space="preserve">   Togo</v>
      </c>
      <c r="C367">
        <v>31930909</v>
      </c>
      <c r="D367">
        <v>3706</v>
      </c>
    </row>
    <row r="368" spans="1:4" x14ac:dyDescent="0.25">
      <c r="A368" t="str">
        <f>T("300590")</f>
        <v>300590</v>
      </c>
      <c r="B368" t="str">
        <f>T("OUATES, GAZES, BANDES ET ARTICLES ANALOGUES [PANSEMENTS, SPARADRAPS, SINAPISMES, P.EX.], IMPRÉGNÉS OU RECOUVERTS DE SUBSTANCES PHARMACEUTIQUES OU CONDITIONNÉS POUR LA VENTE AU DÉTAIL À DES FINS MÉDICALES, CHIRURGICALES, DENTAIRES OU VÉTÉRINAIRES (À L'EXCL")</f>
        <v>OUATES, GAZES, BANDES ET ARTICLES ANALOGUES [PANSEMENTS, SPARADRAPS, SINAPISMES, P.EX.], IMPRÉGNÉS OU RECOUVERTS DE SUBSTANCES PHARMACEUTIQUES OU CONDITIONNÉS POUR LA VENTE AU DÉTAIL À DES FINS MÉDICALES, CHIRURGICALES, DENTAIRES OU VÉTÉRINAIRES (À L'EXCL</v>
      </c>
    </row>
    <row r="369" spans="1:4" x14ac:dyDescent="0.25">
      <c r="A369" t="str">
        <f>T("   ZZZ_Monde")</f>
        <v xml:space="preserve">   ZZZ_Monde</v>
      </c>
      <c r="B369" t="str">
        <f>T("   ZZZ_Monde")</f>
        <v xml:space="preserve">   ZZZ_Monde</v>
      </c>
      <c r="C369">
        <v>2851500</v>
      </c>
      <c r="D369">
        <v>1711</v>
      </c>
    </row>
    <row r="370" spans="1:4" x14ac:dyDescent="0.25">
      <c r="A370" t="str">
        <f>T("   TG")</f>
        <v xml:space="preserve">   TG</v>
      </c>
      <c r="B370" t="str">
        <f>T("   Togo")</f>
        <v xml:space="preserve">   Togo</v>
      </c>
      <c r="C370">
        <v>2851500</v>
      </c>
      <c r="D370">
        <v>1711</v>
      </c>
    </row>
    <row r="371" spans="1:4" x14ac:dyDescent="0.25">
      <c r="A371" t="str">
        <f>T("320820")</f>
        <v>320820</v>
      </c>
      <c r="B371" t="str">
        <f>T("PEINTURES ET VERNIS À BASE DE POLYMÈRES ACRYLIQUES OU VINYLIQUES, DISPERSÉS OU DISSOUS DANS UN MILIEU NON-AQUEUX, ET PRODUITS À BASE DE POLYMÈRES ACRYLIQUES OU VINYLIQUES EN SOLUTION DANS DES SOLVANTS ORGANIQUES VOLATILS, POUR AUTANT QUE LA PROPORTION DU")</f>
        <v>PEINTURES ET VERNIS À BASE DE POLYMÈRES ACRYLIQUES OU VINYLIQUES, DISPERSÉS OU DISSOUS DANS UN MILIEU NON-AQUEUX, ET PRODUITS À BASE DE POLYMÈRES ACRYLIQUES OU VINYLIQUES EN SOLUTION DANS DES SOLVANTS ORGANIQUES VOLATILS, POUR AUTANT QUE LA PROPORTION DU</v>
      </c>
    </row>
    <row r="372" spans="1:4" x14ac:dyDescent="0.25">
      <c r="A372" t="str">
        <f>T("   ZZZ_Monde")</f>
        <v xml:space="preserve">   ZZZ_Monde</v>
      </c>
      <c r="B372" t="str">
        <f>T("   ZZZ_Monde")</f>
        <v xml:space="preserve">   ZZZ_Monde</v>
      </c>
      <c r="C372">
        <v>13399377</v>
      </c>
      <c r="D372">
        <v>5080</v>
      </c>
    </row>
    <row r="373" spans="1:4" x14ac:dyDescent="0.25">
      <c r="A373" t="str">
        <f>T("   GH")</f>
        <v xml:space="preserve">   GH</v>
      </c>
      <c r="B373" t="str">
        <f>T("   Ghana")</f>
        <v xml:space="preserve">   Ghana</v>
      </c>
      <c r="C373">
        <v>10167207</v>
      </c>
      <c r="D373">
        <v>4680</v>
      </c>
    </row>
    <row r="374" spans="1:4" x14ac:dyDescent="0.25">
      <c r="A374" t="str">
        <f>T("   TG")</f>
        <v xml:space="preserve">   TG</v>
      </c>
      <c r="B374" t="str">
        <f>T("   Togo")</f>
        <v xml:space="preserve">   Togo</v>
      </c>
      <c r="C374">
        <v>3232170</v>
      </c>
      <c r="D374">
        <v>400</v>
      </c>
    </row>
    <row r="375" spans="1:4" x14ac:dyDescent="0.25">
      <c r="A375" t="str">
        <f>T("320890")</f>
        <v>320890</v>
      </c>
      <c r="B375" t="str">
        <f>T("PEINTURES ET VERNIS À BASE DE POLYMÈRES SYNTHÉTIQUES OU DE POLYMÈRES NATURELS MODIFIÉS, DISPERSÉS OU DISSOUS DANS UN MILIEU NON-AQUEUX; PRODUITS VISÉS DANS LE LIBELLÉ DU N° 3901 À 3913 EN SOLUTION DANS DES SOLVANTS ORGANIQUES VOLATILS, POUR AUTANT QUE LA")</f>
        <v>PEINTURES ET VERNIS À BASE DE POLYMÈRES SYNTHÉTIQUES OU DE POLYMÈRES NATURELS MODIFIÉS, DISPERSÉS OU DISSOUS DANS UN MILIEU NON-AQUEUX; PRODUITS VISÉS DANS LE LIBELLÉ DU N° 3901 À 3913 EN SOLUTION DANS DES SOLVANTS ORGANIQUES VOLATILS, POUR AUTANT QUE LA</v>
      </c>
    </row>
    <row r="376" spans="1:4" x14ac:dyDescent="0.25">
      <c r="A376" t="str">
        <f>T("   ZZZ_Monde")</f>
        <v xml:space="preserve">   ZZZ_Monde</v>
      </c>
      <c r="B376" t="str">
        <f>T("   ZZZ_Monde")</f>
        <v xml:space="preserve">   ZZZ_Monde</v>
      </c>
      <c r="C376">
        <v>112008167</v>
      </c>
      <c r="D376">
        <v>43092</v>
      </c>
    </row>
    <row r="377" spans="1:4" x14ac:dyDescent="0.25">
      <c r="A377" t="str">
        <f>T("   BF")</f>
        <v xml:space="preserve">   BF</v>
      </c>
      <c r="B377" t="str">
        <f>T("   Burkina Faso")</f>
        <v xml:space="preserve">   Burkina Faso</v>
      </c>
      <c r="C377">
        <v>4885648</v>
      </c>
      <c r="D377">
        <v>1405</v>
      </c>
    </row>
    <row r="378" spans="1:4" x14ac:dyDescent="0.25">
      <c r="A378" t="str">
        <f>T("   TD")</f>
        <v xml:space="preserve">   TD</v>
      </c>
      <c r="B378" t="str">
        <f>T("   Tchad")</f>
        <v xml:space="preserve">   Tchad</v>
      </c>
      <c r="C378">
        <v>26619753</v>
      </c>
      <c r="D378">
        <v>9921</v>
      </c>
    </row>
    <row r="379" spans="1:4" x14ac:dyDescent="0.25">
      <c r="A379" t="str">
        <f>T("   TG")</f>
        <v xml:space="preserve">   TG</v>
      </c>
      <c r="B379" t="str">
        <f>T("   Togo")</f>
        <v xml:space="preserve">   Togo</v>
      </c>
      <c r="C379">
        <v>80502766</v>
      </c>
      <c r="D379">
        <v>31766</v>
      </c>
    </row>
    <row r="380" spans="1:4" x14ac:dyDescent="0.25">
      <c r="A380" t="str">
        <f>T("320910")</f>
        <v>320910</v>
      </c>
      <c r="B380" t="str">
        <f>T("Peintures et vernis à base de polymères acryliques ou vinyliques, dispersés ou dissous dans un milieu aqueux")</f>
        <v>Peintures et vernis à base de polymères acryliques ou vinyliques, dispersés ou dissous dans un milieu aqueux</v>
      </c>
    </row>
    <row r="381" spans="1:4" x14ac:dyDescent="0.25">
      <c r="A381" t="str">
        <f>T("   ZZZ_Monde")</f>
        <v xml:space="preserve">   ZZZ_Monde</v>
      </c>
      <c r="B381" t="str">
        <f>T("   ZZZ_Monde")</f>
        <v xml:space="preserve">   ZZZ_Monde</v>
      </c>
      <c r="C381">
        <v>16335887</v>
      </c>
      <c r="D381">
        <v>15980</v>
      </c>
    </row>
    <row r="382" spans="1:4" x14ac:dyDescent="0.25">
      <c r="A382" t="str">
        <f>T("   BF")</f>
        <v xml:space="preserve">   BF</v>
      </c>
      <c r="B382" t="str">
        <f>T("   Burkina Faso")</f>
        <v xml:space="preserve">   Burkina Faso</v>
      </c>
      <c r="C382">
        <v>7173737</v>
      </c>
      <c r="D382">
        <v>5065</v>
      </c>
    </row>
    <row r="383" spans="1:4" x14ac:dyDescent="0.25">
      <c r="A383" t="str">
        <f>T("   TG")</f>
        <v xml:space="preserve">   TG</v>
      </c>
      <c r="B383" t="str">
        <f>T("   Togo")</f>
        <v xml:space="preserve">   Togo</v>
      </c>
      <c r="C383">
        <v>9162150</v>
      </c>
      <c r="D383">
        <v>10915</v>
      </c>
    </row>
    <row r="384" spans="1:4" x14ac:dyDescent="0.25">
      <c r="A384" t="str">
        <f>T("330499")</f>
        <v>330499</v>
      </c>
      <c r="B384" t="str">
        <f>T("Produits de beauté ou de maquillage préparés et préparations pour l'entretien ou les soins de la peau, y.c. les préparations antisolaires et les préparations pour bronzer (à l'excl. des médicaments, des produits de maquillage pour les lèvres ou les yeux,")</f>
        <v>Produits de beauté ou de maquillage préparés et préparations pour l'entretien ou les soins de la peau, y.c. les préparations antisolaires et les préparations pour bronzer (à l'excl. des médicaments, des produits de maquillage pour les lèvres ou les yeux,</v>
      </c>
    </row>
    <row r="385" spans="1:4" x14ac:dyDescent="0.25">
      <c r="A385" t="str">
        <f>T("   ZZZ_Monde")</f>
        <v xml:space="preserve">   ZZZ_Monde</v>
      </c>
      <c r="B385" t="str">
        <f>T("   ZZZ_Monde")</f>
        <v xml:space="preserve">   ZZZ_Monde</v>
      </c>
      <c r="C385">
        <v>2005025</v>
      </c>
      <c r="D385">
        <v>5645</v>
      </c>
    </row>
    <row r="386" spans="1:4" x14ac:dyDescent="0.25">
      <c r="A386" t="str">
        <f>T("   GA")</f>
        <v xml:space="preserve">   GA</v>
      </c>
      <c r="B386" t="str">
        <f>T("   Gabon")</f>
        <v xml:space="preserve">   Gabon</v>
      </c>
      <c r="C386">
        <v>895000</v>
      </c>
      <c r="D386">
        <v>4600</v>
      </c>
    </row>
    <row r="387" spans="1:4" x14ac:dyDescent="0.25">
      <c r="A387" t="str">
        <f>T("   GQ")</f>
        <v xml:space="preserve">   GQ</v>
      </c>
      <c r="B387" t="str">
        <f>T("   Guinée Equatoriale")</f>
        <v xml:space="preserve">   Guinée Equatoriale</v>
      </c>
      <c r="C387">
        <v>1110025</v>
      </c>
      <c r="D387">
        <v>1045</v>
      </c>
    </row>
    <row r="388" spans="1:4" x14ac:dyDescent="0.25">
      <c r="A388" t="str">
        <f>T("340119")</f>
        <v>340119</v>
      </c>
      <c r="B388" t="str">
        <f>T("Savons, produits et préparations organiques tensio-actifs à usage de savon, en barres, en pains, en morceaux ou en sujets frappés, et papier, ouates, feutres et nontissés, imprégnés, enduits ou recouverts de savon ou de détergents (à l'excl. des produits")</f>
        <v>Savons, produits et préparations organiques tensio-actifs à usage de savon, en barres, en pains, en morceaux ou en sujets frappés, et papier, ouates, feutres et nontissés, imprégnés, enduits ou recouverts de savon ou de détergents (à l'excl. des produits</v>
      </c>
    </row>
    <row r="389" spans="1:4" x14ac:dyDescent="0.25">
      <c r="A389" t="str">
        <f>T("   ZZZ_Monde")</f>
        <v xml:space="preserve">   ZZZ_Monde</v>
      </c>
      <c r="B389" t="str">
        <f>T("   ZZZ_Monde")</f>
        <v xml:space="preserve">   ZZZ_Monde</v>
      </c>
      <c r="C389">
        <v>209104576</v>
      </c>
      <c r="D389">
        <v>322750</v>
      </c>
    </row>
    <row r="390" spans="1:4" x14ac:dyDescent="0.25">
      <c r="A390" t="str">
        <f>T("   NG")</f>
        <v xml:space="preserve">   NG</v>
      </c>
      <c r="B390" t="str">
        <f>T("   Nigéria")</f>
        <v xml:space="preserve">   Nigéria</v>
      </c>
      <c r="C390">
        <v>209104576</v>
      </c>
      <c r="D390">
        <v>322750</v>
      </c>
    </row>
    <row r="391" spans="1:4" x14ac:dyDescent="0.25">
      <c r="A391" t="str">
        <f>T("340120")</f>
        <v>340120</v>
      </c>
      <c r="B391" t="str">
        <f>T("Savons en flocons, en paillettes, en granulés ou en poudres et savons liquides ou pâteux")</f>
        <v>Savons en flocons, en paillettes, en granulés ou en poudres et savons liquides ou pâteux</v>
      </c>
    </row>
    <row r="392" spans="1:4" x14ac:dyDescent="0.25">
      <c r="A392" t="str">
        <f>T("   ZZZ_Monde")</f>
        <v xml:space="preserve">   ZZZ_Monde</v>
      </c>
      <c r="B392" t="str">
        <f>T("   ZZZ_Monde")</f>
        <v xml:space="preserve">   ZZZ_Monde</v>
      </c>
      <c r="C392">
        <v>12810000</v>
      </c>
      <c r="D392">
        <v>14700</v>
      </c>
    </row>
    <row r="393" spans="1:4" x14ac:dyDescent="0.25">
      <c r="A393" t="str">
        <f>T("   NE")</f>
        <v xml:space="preserve">   NE</v>
      </c>
      <c r="B393" t="str">
        <f>T("   Niger")</f>
        <v xml:space="preserve">   Niger</v>
      </c>
      <c r="C393">
        <v>12810000</v>
      </c>
      <c r="D393">
        <v>14700</v>
      </c>
    </row>
    <row r="394" spans="1:4" x14ac:dyDescent="0.25">
      <c r="A394" t="str">
        <f>T("340212")</f>
        <v>340212</v>
      </c>
      <c r="B394" t="str">
        <f>T("Agents de surface organiques, cationiques, même conditionnés pour la vente au détail (à l'excl. des savons)")</f>
        <v>Agents de surface organiques, cationiques, même conditionnés pour la vente au détail (à l'excl. des savons)</v>
      </c>
    </row>
    <row r="395" spans="1:4" x14ac:dyDescent="0.25">
      <c r="A395" t="str">
        <f>T("   ZZZ_Monde")</f>
        <v xml:space="preserve">   ZZZ_Monde</v>
      </c>
      <c r="B395" t="str">
        <f>T("   ZZZ_Monde")</f>
        <v xml:space="preserve">   ZZZ_Monde</v>
      </c>
      <c r="C395">
        <v>8259000</v>
      </c>
      <c r="D395">
        <v>3000</v>
      </c>
    </row>
    <row r="396" spans="1:4" x14ac:dyDescent="0.25">
      <c r="A396" t="str">
        <f>T("   TG")</f>
        <v xml:space="preserve">   TG</v>
      </c>
      <c r="B396" t="str">
        <f>T("   Togo")</f>
        <v xml:space="preserve">   Togo</v>
      </c>
      <c r="C396">
        <v>8259000</v>
      </c>
      <c r="D396">
        <v>3000</v>
      </c>
    </row>
    <row r="397" spans="1:4" x14ac:dyDescent="0.25">
      <c r="A397" t="str">
        <f>T("340219")</f>
        <v>340219</v>
      </c>
      <c r="B397" t="str">
        <f>T("Agents de surface organiques, même conditionnés pour la vente au détail (à l'excl. des savons et des agents de surface anioniques, cationiques ou non ioniques)")</f>
        <v>Agents de surface organiques, même conditionnés pour la vente au détail (à l'excl. des savons et des agents de surface anioniques, cationiques ou non ioniques)</v>
      </c>
    </row>
    <row r="398" spans="1:4" x14ac:dyDescent="0.25">
      <c r="A398" t="str">
        <f>T("   ZZZ_Monde")</f>
        <v xml:space="preserve">   ZZZ_Monde</v>
      </c>
      <c r="B398" t="str">
        <f>T("   ZZZ_Monde")</f>
        <v xml:space="preserve">   ZZZ_Monde</v>
      </c>
      <c r="C398">
        <v>13223517</v>
      </c>
      <c r="D398">
        <v>22535</v>
      </c>
    </row>
    <row r="399" spans="1:4" x14ac:dyDescent="0.25">
      <c r="A399" t="str">
        <f>T("   TG")</f>
        <v xml:space="preserve">   TG</v>
      </c>
      <c r="B399" t="str">
        <f>T("   Togo")</f>
        <v xml:space="preserve">   Togo</v>
      </c>
      <c r="C399">
        <v>13223517</v>
      </c>
      <c r="D399">
        <v>22535</v>
      </c>
    </row>
    <row r="400" spans="1:4" x14ac:dyDescent="0.25">
      <c r="A400" t="str">
        <f>T("360500")</f>
        <v>360500</v>
      </c>
      <c r="B400" t="str">
        <f>T("Allumettes (autres que les articles de pyrotechnie du n° 3604)")</f>
        <v>Allumettes (autres que les articles de pyrotechnie du n° 3604)</v>
      </c>
    </row>
    <row r="401" spans="1:4" x14ac:dyDescent="0.25">
      <c r="A401" t="str">
        <f>T("   ZZZ_Monde")</f>
        <v xml:space="preserve">   ZZZ_Monde</v>
      </c>
      <c r="B401" t="str">
        <f>T("   ZZZ_Monde")</f>
        <v xml:space="preserve">   ZZZ_Monde</v>
      </c>
      <c r="C401">
        <v>3000000</v>
      </c>
      <c r="D401">
        <v>13376</v>
      </c>
    </row>
    <row r="402" spans="1:4" x14ac:dyDescent="0.25">
      <c r="A402" t="str">
        <f>T("   ML")</f>
        <v xml:space="preserve">   ML</v>
      </c>
      <c r="B402" t="str">
        <f>T("   Mali")</f>
        <v xml:space="preserve">   Mali</v>
      </c>
      <c r="C402">
        <v>3000000</v>
      </c>
      <c r="D402">
        <v>13376</v>
      </c>
    </row>
    <row r="403" spans="1:4" x14ac:dyDescent="0.25">
      <c r="A403" t="str">
        <f>T("370790")</f>
        <v>370790</v>
      </c>
      <c r="B403" t="str">
        <f>T("PRÉPARATIONS CHIMIQUES POUR USAGES PHOTOGRAPHIQUES, Y.C. LES PRODUITS NON-MÉLANGÉS, SOIT DOSÉS EN VUE D'USAGES PHOTOGRAPHIQUES, SOIT CONDITIONNÉS POUR LA VENTE AU DÉTAIL POUR CES MÊMES USAGES ET PRÊTS À L'EMPLOI (À L'EXCL. DES VERNIS, COLLES, ADHÉSIFS ET")</f>
        <v>PRÉPARATIONS CHIMIQUES POUR USAGES PHOTOGRAPHIQUES, Y.C. LES PRODUITS NON-MÉLANGÉS, SOIT DOSÉS EN VUE D'USAGES PHOTOGRAPHIQUES, SOIT CONDITIONNÉS POUR LA VENTE AU DÉTAIL POUR CES MÊMES USAGES ET PRÊTS À L'EMPLOI (À L'EXCL. DES VERNIS, COLLES, ADHÉSIFS ET</v>
      </c>
    </row>
    <row r="404" spans="1:4" x14ac:dyDescent="0.25">
      <c r="A404" t="str">
        <f>T("   ZZZ_Monde")</f>
        <v xml:space="preserve">   ZZZ_Monde</v>
      </c>
      <c r="B404" t="str">
        <f>T("   ZZZ_Monde")</f>
        <v xml:space="preserve">   ZZZ_Monde</v>
      </c>
      <c r="C404">
        <v>3529411</v>
      </c>
      <c r="D404">
        <v>5450</v>
      </c>
    </row>
    <row r="405" spans="1:4" x14ac:dyDescent="0.25">
      <c r="A405" t="str">
        <f>T("   CI")</f>
        <v xml:space="preserve">   CI</v>
      </c>
      <c r="B405" t="str">
        <f>T("   Côte d'Ivoire")</f>
        <v xml:space="preserve">   Côte d'Ivoire</v>
      </c>
      <c r="C405">
        <v>3529411</v>
      </c>
      <c r="D405">
        <v>5450</v>
      </c>
    </row>
    <row r="406" spans="1:4" x14ac:dyDescent="0.25">
      <c r="A406" t="str">
        <f>T("380840")</f>
        <v>380840</v>
      </c>
      <c r="B406" t="str">
        <f>T("Désinfectants et produits simil., présentés dans des formes ou emballages de vente au détail ou à l'état de préparations ou sous forme d'articles")</f>
        <v>Désinfectants et produits simil., présentés dans des formes ou emballages de vente au détail ou à l'état de préparations ou sous forme d'articles</v>
      </c>
    </row>
    <row r="407" spans="1:4" x14ac:dyDescent="0.25">
      <c r="A407" t="str">
        <f>T("   ZZZ_Monde")</f>
        <v xml:space="preserve">   ZZZ_Monde</v>
      </c>
      <c r="B407" t="str">
        <f>T("   ZZZ_Monde")</f>
        <v xml:space="preserve">   ZZZ_Monde</v>
      </c>
      <c r="C407">
        <v>45392432</v>
      </c>
      <c r="D407">
        <v>80000</v>
      </c>
    </row>
    <row r="408" spans="1:4" x14ac:dyDescent="0.25">
      <c r="A408" t="str">
        <f>T("   FR")</f>
        <v xml:space="preserve">   FR</v>
      </c>
      <c r="B408" t="str">
        <f>T("   France")</f>
        <v xml:space="preserve">   France</v>
      </c>
      <c r="C408">
        <v>34044324</v>
      </c>
      <c r="D408">
        <v>60000</v>
      </c>
    </row>
    <row r="409" spans="1:4" x14ac:dyDescent="0.25">
      <c r="A409" t="str">
        <f>T("   IN")</f>
        <v xml:space="preserve">   IN</v>
      </c>
      <c r="B409" t="str">
        <f>T("   Inde")</f>
        <v xml:space="preserve">   Inde</v>
      </c>
      <c r="C409">
        <v>11348108</v>
      </c>
      <c r="D409">
        <v>20000</v>
      </c>
    </row>
    <row r="410" spans="1:4" x14ac:dyDescent="0.25">
      <c r="A410" t="str">
        <f>T("380890")</f>
        <v>380890</v>
      </c>
      <c r="B410" t="str">
        <f>T("Antirongeurs et autres produits phytosanitaires, présentés dans des formes ou emballages de vente au détail ou à l'état de préparations ou sous forme d'articles (à l'excl. des insecticides, des fongicides, des herbicides et des désinfectants)")</f>
        <v>Antirongeurs et autres produits phytosanitaires, présentés dans des formes ou emballages de vente au détail ou à l'état de préparations ou sous forme d'articles (à l'excl. des insecticides, des fongicides, des herbicides et des désinfectants)</v>
      </c>
    </row>
    <row r="411" spans="1:4" x14ac:dyDescent="0.25">
      <c r="A411" t="str">
        <f>T("   ZZZ_Monde")</f>
        <v xml:space="preserve">   ZZZ_Monde</v>
      </c>
      <c r="B411" t="str">
        <f>T("   ZZZ_Monde")</f>
        <v xml:space="preserve">   ZZZ_Monde</v>
      </c>
      <c r="C411">
        <v>485082</v>
      </c>
      <c r="D411">
        <v>132</v>
      </c>
    </row>
    <row r="412" spans="1:4" x14ac:dyDescent="0.25">
      <c r="A412" t="str">
        <f>T("   TG")</f>
        <v xml:space="preserve">   TG</v>
      </c>
      <c r="B412" t="str">
        <f>T("   Togo")</f>
        <v xml:space="preserve">   Togo</v>
      </c>
      <c r="C412">
        <v>485082</v>
      </c>
      <c r="D412">
        <v>132</v>
      </c>
    </row>
    <row r="413" spans="1:4" x14ac:dyDescent="0.25">
      <c r="A413" t="str">
        <f>T("381400")</f>
        <v>381400</v>
      </c>
      <c r="B413" t="str">
        <f>T("Solvants et diluants organiques composites, n.d.a.; préparations conçues pour enlever les peintures ou les vernis (à l'excl. des dissolvants pour vernis à ongles)")</f>
        <v>Solvants et diluants organiques composites, n.d.a.; préparations conçues pour enlever les peintures ou les vernis (à l'excl. des dissolvants pour vernis à ongles)</v>
      </c>
    </row>
    <row r="414" spans="1:4" x14ac:dyDescent="0.25">
      <c r="A414" t="str">
        <f>T("   ZZZ_Monde")</f>
        <v xml:space="preserve">   ZZZ_Monde</v>
      </c>
      <c r="B414" t="str">
        <f>T("   ZZZ_Monde")</f>
        <v xml:space="preserve">   ZZZ_Monde</v>
      </c>
      <c r="C414">
        <v>716040</v>
      </c>
      <c r="D414">
        <v>396</v>
      </c>
    </row>
    <row r="415" spans="1:4" x14ac:dyDescent="0.25">
      <c r="A415" t="str">
        <f>T("   TG")</f>
        <v xml:space="preserve">   TG</v>
      </c>
      <c r="B415" t="str">
        <f>T("   Togo")</f>
        <v xml:space="preserve">   Togo</v>
      </c>
      <c r="C415">
        <v>716040</v>
      </c>
      <c r="D415">
        <v>396</v>
      </c>
    </row>
    <row r="416" spans="1:4" x14ac:dyDescent="0.25">
      <c r="A416" t="str">
        <f>T("382490")</f>
        <v>382490</v>
      </c>
      <c r="B416" t="str">
        <f>T("Produits chimiques et préparations des industries chimiques ou des industries connexes, y.c. celles consistant en mélanges de produits naturels, n.d.a.")</f>
        <v>Produits chimiques et préparations des industries chimiques ou des industries connexes, y.c. celles consistant en mélanges de produits naturels, n.d.a.</v>
      </c>
    </row>
    <row r="417" spans="1:4" x14ac:dyDescent="0.25">
      <c r="A417" t="str">
        <f>T("   ZZZ_Monde")</f>
        <v xml:space="preserve">   ZZZ_Monde</v>
      </c>
      <c r="B417" t="str">
        <f>T("   ZZZ_Monde")</f>
        <v xml:space="preserve">   ZZZ_Monde</v>
      </c>
      <c r="C417">
        <v>5312990</v>
      </c>
      <c r="D417">
        <v>34847</v>
      </c>
    </row>
    <row r="418" spans="1:4" x14ac:dyDescent="0.25">
      <c r="A418" t="str">
        <f>T("   CI")</f>
        <v xml:space="preserve">   CI</v>
      </c>
      <c r="B418" t="str">
        <f>T("   Côte d'Ivoire")</f>
        <v xml:space="preserve">   Côte d'Ivoire</v>
      </c>
      <c r="C418">
        <v>3461520</v>
      </c>
      <c r="D418">
        <v>11017</v>
      </c>
    </row>
    <row r="419" spans="1:4" x14ac:dyDescent="0.25">
      <c r="A419" t="str">
        <f>T("   TG")</f>
        <v xml:space="preserve">   TG</v>
      </c>
      <c r="B419" t="str">
        <f>T("   Togo")</f>
        <v xml:space="preserve">   Togo</v>
      </c>
      <c r="C419">
        <v>1851470</v>
      </c>
      <c r="D419">
        <v>23830</v>
      </c>
    </row>
    <row r="420" spans="1:4" x14ac:dyDescent="0.25">
      <c r="A420" t="str">
        <f>T("390410")</f>
        <v>390410</v>
      </c>
      <c r="B420" t="str">
        <f>T("Poly[chlorure de vinyle], sous formes primaires, non mélangé à d'autres substances")</f>
        <v>Poly[chlorure de vinyle], sous formes primaires, non mélangé à d'autres substances</v>
      </c>
    </row>
    <row r="421" spans="1:4" x14ac:dyDescent="0.25">
      <c r="A421" t="str">
        <f>T("   ZZZ_Monde")</f>
        <v xml:space="preserve">   ZZZ_Monde</v>
      </c>
      <c r="B421" t="str">
        <f>T("   ZZZ_Monde")</f>
        <v xml:space="preserve">   ZZZ_Monde</v>
      </c>
      <c r="C421">
        <v>46875000</v>
      </c>
      <c r="D421">
        <v>25000</v>
      </c>
    </row>
    <row r="422" spans="1:4" x14ac:dyDescent="0.25">
      <c r="A422" t="str">
        <f>T("   TG")</f>
        <v xml:space="preserve">   TG</v>
      </c>
      <c r="B422" t="str">
        <f>T("   Togo")</f>
        <v xml:space="preserve">   Togo</v>
      </c>
      <c r="C422">
        <v>46875000</v>
      </c>
      <c r="D422">
        <v>25000</v>
      </c>
    </row>
    <row r="423" spans="1:4" x14ac:dyDescent="0.25">
      <c r="A423" t="str">
        <f>T("391590")</f>
        <v>391590</v>
      </c>
      <c r="B423" t="str">
        <f>T("Déchets, rognures et débris de matières plastiques (à l'excl. des déchets, rognures et débris de polymères de l'éthylène, du styrène ou du chlorure de vinyle)")</f>
        <v>Déchets, rognures et débris de matières plastiques (à l'excl. des déchets, rognures et débris de polymères de l'éthylène, du styrène ou du chlorure de vinyle)</v>
      </c>
    </row>
    <row r="424" spans="1:4" x14ac:dyDescent="0.25">
      <c r="A424" t="str">
        <f>T("   ZZZ_Monde")</f>
        <v xml:space="preserve">   ZZZ_Monde</v>
      </c>
      <c r="B424" t="str">
        <f>T("   ZZZ_Monde")</f>
        <v xml:space="preserve">   ZZZ_Monde</v>
      </c>
      <c r="C424">
        <v>5663125</v>
      </c>
      <c r="D424">
        <v>226525</v>
      </c>
    </row>
    <row r="425" spans="1:4" x14ac:dyDescent="0.25">
      <c r="A425" t="str">
        <f>T("   TG")</f>
        <v xml:space="preserve">   TG</v>
      </c>
      <c r="B425" t="str">
        <f>T("   Togo")</f>
        <v xml:space="preserve">   Togo</v>
      </c>
      <c r="C425">
        <v>5663125</v>
      </c>
      <c r="D425">
        <v>226525</v>
      </c>
    </row>
    <row r="426" spans="1:4" x14ac:dyDescent="0.25">
      <c r="A426" t="str">
        <f>T("391721")</f>
        <v>391721</v>
      </c>
      <c r="B426" t="str">
        <f>T("TUBES ET TUYAUX RIGIDES, EN POLYMÈRES DE L'ÉTHYLÈNE")</f>
        <v>TUBES ET TUYAUX RIGIDES, EN POLYMÈRES DE L'ÉTHYLÈNE</v>
      </c>
    </row>
    <row r="427" spans="1:4" x14ac:dyDescent="0.25">
      <c r="A427" t="str">
        <f>T("   ZZZ_Monde")</f>
        <v xml:space="preserve">   ZZZ_Monde</v>
      </c>
      <c r="B427" t="str">
        <f>T("   ZZZ_Monde")</f>
        <v xml:space="preserve">   ZZZ_Monde</v>
      </c>
      <c r="C427">
        <v>1245994928</v>
      </c>
      <c r="D427">
        <v>2998976</v>
      </c>
    </row>
    <row r="428" spans="1:4" x14ac:dyDescent="0.25">
      <c r="A428" t="str">
        <f>T("   BF")</f>
        <v xml:space="preserve">   BF</v>
      </c>
      <c r="B428" t="str">
        <f>T("   Burkina Faso")</f>
        <v xml:space="preserve">   Burkina Faso</v>
      </c>
      <c r="C428">
        <v>359472500</v>
      </c>
      <c r="D428">
        <v>74800</v>
      </c>
    </row>
    <row r="429" spans="1:4" x14ac:dyDescent="0.25">
      <c r="A429" t="str">
        <f>T("   NE")</f>
        <v xml:space="preserve">   NE</v>
      </c>
      <c r="B429" t="str">
        <f>T("   Niger")</f>
        <v xml:space="preserve">   Niger</v>
      </c>
      <c r="C429">
        <v>21693500</v>
      </c>
      <c r="D429">
        <v>39362</v>
      </c>
    </row>
    <row r="430" spans="1:4" x14ac:dyDescent="0.25">
      <c r="A430" t="str">
        <f>T("   NG")</f>
        <v xml:space="preserve">   NG</v>
      </c>
      <c r="B430" t="str">
        <f>T("   Nigéria")</f>
        <v xml:space="preserve">   Nigéria</v>
      </c>
      <c r="C430">
        <v>735416928</v>
      </c>
      <c r="D430">
        <v>2752464</v>
      </c>
    </row>
    <row r="431" spans="1:4" x14ac:dyDescent="0.25">
      <c r="A431" t="str">
        <f>T("   TD")</f>
        <v xml:space="preserve">   TD</v>
      </c>
      <c r="B431" t="str">
        <f>T("   Tchad")</f>
        <v xml:space="preserve">   Tchad</v>
      </c>
      <c r="C431">
        <v>42560000</v>
      </c>
      <c r="D431">
        <v>36000</v>
      </c>
    </row>
    <row r="432" spans="1:4" x14ac:dyDescent="0.25">
      <c r="A432" t="str">
        <f>T("   TG")</f>
        <v xml:space="preserve">   TG</v>
      </c>
      <c r="B432" t="str">
        <f>T("   Togo")</f>
        <v xml:space="preserve">   Togo</v>
      </c>
      <c r="C432">
        <v>86852000</v>
      </c>
      <c r="D432">
        <v>96350</v>
      </c>
    </row>
    <row r="433" spans="1:4" x14ac:dyDescent="0.25">
      <c r="A433" t="str">
        <f>T("391723")</f>
        <v>391723</v>
      </c>
      <c r="B433" t="str">
        <f>T("TUBES ET TUYAUX RIGIDES, EN POLYMÈRES DU CHLORURE DE VINYLE")</f>
        <v>TUBES ET TUYAUX RIGIDES, EN POLYMÈRES DU CHLORURE DE VINYLE</v>
      </c>
    </row>
    <row r="434" spans="1:4" x14ac:dyDescent="0.25">
      <c r="A434" t="str">
        <f>T("   ZZZ_Monde")</f>
        <v xml:space="preserve">   ZZZ_Monde</v>
      </c>
      <c r="B434" t="str">
        <f>T("   ZZZ_Monde")</f>
        <v xml:space="preserve">   ZZZ_Monde</v>
      </c>
      <c r="C434">
        <v>87812320</v>
      </c>
      <c r="D434">
        <v>20132149.460000001</v>
      </c>
    </row>
    <row r="435" spans="1:4" x14ac:dyDescent="0.25">
      <c r="A435" t="str">
        <f>T("   GH")</f>
        <v xml:space="preserve">   GH</v>
      </c>
      <c r="B435" t="str">
        <f>T("   Ghana")</f>
        <v xml:space="preserve">   Ghana</v>
      </c>
      <c r="C435">
        <v>17922835</v>
      </c>
      <c r="D435">
        <v>22229.32</v>
      </c>
    </row>
    <row r="436" spans="1:4" x14ac:dyDescent="0.25">
      <c r="A436" t="str">
        <f>T("   NG")</f>
        <v xml:space="preserve">   NG</v>
      </c>
      <c r="B436" t="str">
        <f>T("   Nigéria")</f>
        <v xml:space="preserve">   Nigéria</v>
      </c>
      <c r="C436">
        <v>20574960</v>
      </c>
      <c r="D436">
        <v>17160</v>
      </c>
    </row>
    <row r="437" spans="1:4" x14ac:dyDescent="0.25">
      <c r="A437" t="str">
        <f>T("   TG")</f>
        <v xml:space="preserve">   TG</v>
      </c>
      <c r="B437" t="str">
        <f>T("   Togo")</f>
        <v xml:space="preserve">   Togo</v>
      </c>
      <c r="C437">
        <v>49314525</v>
      </c>
      <c r="D437">
        <v>20092760.140000001</v>
      </c>
    </row>
    <row r="438" spans="1:4" x14ac:dyDescent="0.25">
      <c r="A438" t="str">
        <f>T("391729")</f>
        <v>391729</v>
      </c>
      <c r="B438" t="str">
        <f>T("TUBES ET TUYAUX RIGIDES, EN MATIÈRES PLASTIQUES (À L'EXCL. DES TUBES ET TUYAUX EN POLYMÈRES DE L'ÉTHYLÈNE, DU PROPYLÈNE OU DU CHLORURE DE VINYLE)")</f>
        <v>TUBES ET TUYAUX RIGIDES, EN MATIÈRES PLASTIQUES (À L'EXCL. DES TUBES ET TUYAUX EN POLYMÈRES DE L'ÉTHYLÈNE, DU PROPYLÈNE OU DU CHLORURE DE VINYLE)</v>
      </c>
    </row>
    <row r="439" spans="1:4" x14ac:dyDescent="0.25">
      <c r="A439" t="str">
        <f>T("   ZZZ_Monde")</f>
        <v xml:space="preserve">   ZZZ_Monde</v>
      </c>
      <c r="B439" t="str">
        <f>T("   ZZZ_Monde")</f>
        <v xml:space="preserve">   ZZZ_Monde</v>
      </c>
      <c r="C439">
        <v>264848</v>
      </c>
      <c r="D439">
        <v>2932</v>
      </c>
    </row>
    <row r="440" spans="1:4" x14ac:dyDescent="0.25">
      <c r="A440" t="str">
        <f>T("   GH")</f>
        <v xml:space="preserve">   GH</v>
      </c>
      <c r="B440" t="str">
        <f>T("   Ghana")</f>
        <v xml:space="preserve">   Ghana</v>
      </c>
      <c r="C440">
        <v>264848</v>
      </c>
      <c r="D440">
        <v>2932</v>
      </c>
    </row>
    <row r="441" spans="1:4" x14ac:dyDescent="0.25">
      <c r="A441" t="str">
        <f>T("391739")</f>
        <v>391739</v>
      </c>
      <c r="B441" t="str">
        <f>T("TUBES ET TUYAUX SOUPLES, EN MATIÈRES PLASTIQUES, RENFORCÉS D'AUTRES MATIÈRES OU ASSOCIÉS À D'AUTRES MATIÈRES (À L'EXCL. DES PRODUITS POUVANT SUPPORTER UNE PRESSION &gt;= 27,6 MPA)")</f>
        <v>TUBES ET TUYAUX SOUPLES, EN MATIÈRES PLASTIQUES, RENFORCÉS D'AUTRES MATIÈRES OU ASSOCIÉS À D'AUTRES MATIÈRES (À L'EXCL. DES PRODUITS POUVANT SUPPORTER UNE PRESSION &gt;= 27,6 MPA)</v>
      </c>
    </row>
    <row r="442" spans="1:4" x14ac:dyDescent="0.25">
      <c r="A442" t="str">
        <f>T("   ZZZ_Monde")</f>
        <v xml:space="preserve">   ZZZ_Monde</v>
      </c>
      <c r="B442" t="str">
        <f>T("   ZZZ_Monde")</f>
        <v xml:space="preserve">   ZZZ_Monde</v>
      </c>
      <c r="C442">
        <v>72798644</v>
      </c>
      <c r="D442">
        <v>78885.98</v>
      </c>
    </row>
    <row r="443" spans="1:4" x14ac:dyDescent="0.25">
      <c r="A443" t="str">
        <f>T("   GH")</f>
        <v xml:space="preserve">   GH</v>
      </c>
      <c r="B443" t="str">
        <f>T("   Ghana")</f>
        <v xml:space="preserve">   Ghana</v>
      </c>
      <c r="C443">
        <v>13917800</v>
      </c>
      <c r="D443">
        <v>35975.300000000003</v>
      </c>
    </row>
    <row r="444" spans="1:4" x14ac:dyDescent="0.25">
      <c r="A444" t="str">
        <f>T("   TG")</f>
        <v xml:space="preserve">   TG</v>
      </c>
      <c r="B444" t="str">
        <f>T("   Togo")</f>
        <v xml:space="preserve">   Togo</v>
      </c>
      <c r="C444">
        <v>58880844</v>
      </c>
      <c r="D444">
        <v>42910.68</v>
      </c>
    </row>
    <row r="445" spans="1:4" x14ac:dyDescent="0.25">
      <c r="A445" t="str">
        <f>T("391910")</f>
        <v>391910</v>
      </c>
      <c r="B445" t="str">
        <f>T("Feuilles, bandes, rubans, pellicules et autres formes plates, auto-adhésifs, en matières plastiques, en rouleaux d'une largeur &lt;= 20 cm")</f>
        <v>Feuilles, bandes, rubans, pellicules et autres formes plates, auto-adhésifs, en matières plastiques, en rouleaux d'une largeur &lt;= 20 cm</v>
      </c>
    </row>
    <row r="446" spans="1:4" x14ac:dyDescent="0.25">
      <c r="A446" t="str">
        <f>T("   ZZZ_Monde")</f>
        <v xml:space="preserve">   ZZZ_Monde</v>
      </c>
      <c r="B446" t="str">
        <f>T("   ZZZ_Monde")</f>
        <v xml:space="preserve">   ZZZ_Monde</v>
      </c>
      <c r="C446">
        <v>1971284</v>
      </c>
      <c r="D446">
        <v>1665</v>
      </c>
    </row>
    <row r="447" spans="1:4" x14ac:dyDescent="0.25">
      <c r="A447" t="str">
        <f>T("   TG")</f>
        <v xml:space="preserve">   TG</v>
      </c>
      <c r="B447" t="str">
        <f>T("   Togo")</f>
        <v xml:space="preserve">   Togo</v>
      </c>
      <c r="C447">
        <v>1971284</v>
      </c>
      <c r="D447">
        <v>1665</v>
      </c>
    </row>
    <row r="448" spans="1:4" x14ac:dyDescent="0.25">
      <c r="A448" t="str">
        <f>T("391990")</f>
        <v>391990</v>
      </c>
      <c r="B448" t="str">
        <f>T("Plaques, feuilles, bandes, rubans, pellicules et autres formes plates, auto-adhésifs, en matières plastiques, même en rouleaux (à l'excl. des produits en rouleaux d'une largeur &lt;= 20 cm ainsi que des revêtements de sols, de murs ou de plafonds du n° 3918)")</f>
        <v>Plaques, feuilles, bandes, rubans, pellicules et autres formes plates, auto-adhésifs, en matières plastiques, même en rouleaux (à l'excl. des produits en rouleaux d'une largeur &lt;= 20 cm ainsi que des revêtements de sols, de murs ou de plafonds du n° 3918)</v>
      </c>
    </row>
    <row r="449" spans="1:4" x14ac:dyDescent="0.25">
      <c r="A449" t="str">
        <f>T("   ZZZ_Monde")</f>
        <v xml:space="preserve">   ZZZ_Monde</v>
      </c>
      <c r="B449" t="str">
        <f>T("   ZZZ_Monde")</f>
        <v xml:space="preserve">   ZZZ_Monde</v>
      </c>
      <c r="C449">
        <v>1437500</v>
      </c>
      <c r="D449">
        <v>1281</v>
      </c>
    </row>
    <row r="450" spans="1:4" x14ac:dyDescent="0.25">
      <c r="A450" t="str">
        <f>T("   GH")</f>
        <v xml:space="preserve">   GH</v>
      </c>
      <c r="B450" t="str">
        <f>T("   Ghana")</f>
        <v xml:space="preserve">   Ghana</v>
      </c>
      <c r="C450">
        <v>1437500</v>
      </c>
      <c r="D450">
        <v>1281</v>
      </c>
    </row>
    <row r="451" spans="1:4" x14ac:dyDescent="0.25">
      <c r="A451" t="str">
        <f>T("392210")</f>
        <v>392210</v>
      </c>
      <c r="B451" t="str">
        <f>T("Baignoires, douches, éviers et lavabos, en matières plastiques")</f>
        <v>Baignoires, douches, éviers et lavabos, en matières plastiques</v>
      </c>
    </row>
    <row r="452" spans="1:4" x14ac:dyDescent="0.25">
      <c r="A452" t="str">
        <f>T("   ZZZ_Monde")</f>
        <v xml:space="preserve">   ZZZ_Monde</v>
      </c>
      <c r="B452" t="str">
        <f>T("   ZZZ_Monde")</f>
        <v xml:space="preserve">   ZZZ_Monde</v>
      </c>
      <c r="C452">
        <v>33550000</v>
      </c>
      <c r="D452">
        <v>12200</v>
      </c>
    </row>
    <row r="453" spans="1:4" x14ac:dyDescent="0.25">
      <c r="A453" t="str">
        <f>T("   AE")</f>
        <v xml:space="preserve">   AE</v>
      </c>
      <c r="B453" t="str">
        <f>T("   Emirats Arabes Unis")</f>
        <v xml:space="preserve">   Emirats Arabes Unis</v>
      </c>
      <c r="C453">
        <v>33550000</v>
      </c>
      <c r="D453">
        <v>12200</v>
      </c>
    </row>
    <row r="454" spans="1:4" x14ac:dyDescent="0.25">
      <c r="A454" t="str">
        <f>T("392290")</f>
        <v>392290</v>
      </c>
      <c r="B454" t="str">
        <f>T("Bidets, cuvettes d'aisance, réservoirs de chasse et articles simil. pour usages sanitaires ou hygiéniques, en matières plastiques (à l'excl. des baignoires, des douches, d'éviers, des lavabos ainsi que des sièges et couvercles de cuvettes d'aisance)")</f>
        <v>Bidets, cuvettes d'aisance, réservoirs de chasse et articles simil. pour usages sanitaires ou hygiéniques, en matières plastiques (à l'excl. des baignoires, des douches, d'éviers, des lavabos ainsi que des sièges et couvercles de cuvettes d'aisance)</v>
      </c>
    </row>
    <row r="455" spans="1:4" x14ac:dyDescent="0.25">
      <c r="A455" t="str">
        <f>T("   ZZZ_Monde")</f>
        <v xml:space="preserve">   ZZZ_Monde</v>
      </c>
      <c r="B455" t="str">
        <f>T("   ZZZ_Monde")</f>
        <v xml:space="preserve">   ZZZ_Monde</v>
      </c>
      <c r="C455">
        <v>120000</v>
      </c>
      <c r="D455">
        <v>40</v>
      </c>
    </row>
    <row r="456" spans="1:4" x14ac:dyDescent="0.25">
      <c r="A456" t="str">
        <f>T("   CG")</f>
        <v xml:space="preserve">   CG</v>
      </c>
      <c r="B456" t="str">
        <f>T("   Congo (Brazzaville)")</f>
        <v xml:space="preserve">   Congo (Brazzaville)</v>
      </c>
      <c r="C456">
        <v>120000</v>
      </c>
      <c r="D456">
        <v>40</v>
      </c>
    </row>
    <row r="457" spans="1:4" x14ac:dyDescent="0.25">
      <c r="A457" t="str">
        <f>T("392310")</f>
        <v>392310</v>
      </c>
      <c r="B457" t="str">
        <f>T("Boîtes, caisses, casiers et articles simil. pour le transport ou l'emballage, en matières plastiques")</f>
        <v>Boîtes, caisses, casiers et articles simil. pour le transport ou l'emballage, en matières plastiques</v>
      </c>
    </row>
    <row r="458" spans="1:4" x14ac:dyDescent="0.25">
      <c r="A458" t="str">
        <f>T("   ZZZ_Monde")</f>
        <v xml:space="preserve">   ZZZ_Monde</v>
      </c>
      <c r="B458" t="str">
        <f>T("   ZZZ_Monde")</f>
        <v xml:space="preserve">   ZZZ_Monde</v>
      </c>
      <c r="C458">
        <v>4170000</v>
      </c>
      <c r="D458">
        <v>14850</v>
      </c>
    </row>
    <row r="459" spans="1:4" x14ac:dyDescent="0.25">
      <c r="A459" t="str">
        <f>T("   GH")</f>
        <v xml:space="preserve">   GH</v>
      </c>
      <c r="B459" t="str">
        <f>T("   Ghana")</f>
        <v xml:space="preserve">   Ghana</v>
      </c>
      <c r="C459">
        <v>1390000</v>
      </c>
      <c r="D459">
        <v>4950</v>
      </c>
    </row>
    <row r="460" spans="1:4" x14ac:dyDescent="0.25">
      <c r="A460" t="str">
        <f>T("   TG")</f>
        <v xml:space="preserve">   TG</v>
      </c>
      <c r="B460" t="str">
        <f>T("   Togo")</f>
        <v xml:space="preserve">   Togo</v>
      </c>
      <c r="C460">
        <v>2780000</v>
      </c>
      <c r="D460">
        <v>9900</v>
      </c>
    </row>
    <row r="461" spans="1:4" x14ac:dyDescent="0.25">
      <c r="A461" t="str">
        <f>T("392321")</f>
        <v>392321</v>
      </c>
      <c r="B461" t="str">
        <f>T("Sacs, sachets, pochettes et cornets, en polymères de l'éthylène")</f>
        <v>Sacs, sachets, pochettes et cornets, en polymères de l'éthylène</v>
      </c>
    </row>
    <row r="462" spans="1:4" x14ac:dyDescent="0.25">
      <c r="A462" t="str">
        <f>T("   ZZZ_Monde")</f>
        <v xml:space="preserve">   ZZZ_Monde</v>
      </c>
      <c r="B462" t="str">
        <f>T("   ZZZ_Monde")</f>
        <v xml:space="preserve">   ZZZ_Monde</v>
      </c>
      <c r="C462">
        <v>65201936</v>
      </c>
      <c r="D462">
        <v>46022</v>
      </c>
    </row>
    <row r="463" spans="1:4" x14ac:dyDescent="0.25">
      <c r="A463" t="str">
        <f>T("   CN")</f>
        <v xml:space="preserve">   CN</v>
      </c>
      <c r="B463" t="str">
        <f>T("   Chine")</f>
        <v xml:space="preserve">   Chine</v>
      </c>
      <c r="C463">
        <v>59873460</v>
      </c>
      <c r="D463">
        <v>41437</v>
      </c>
    </row>
    <row r="464" spans="1:4" x14ac:dyDescent="0.25">
      <c r="A464" t="str">
        <f>T("   MY")</f>
        <v xml:space="preserve">   MY</v>
      </c>
      <c r="B464" t="str">
        <f>T("   Malaisie")</f>
        <v xml:space="preserve">   Malaisie</v>
      </c>
      <c r="C464">
        <v>5328476</v>
      </c>
      <c r="D464">
        <v>4585</v>
      </c>
    </row>
    <row r="465" spans="1:4" x14ac:dyDescent="0.25">
      <c r="A465" t="str">
        <f>T("392329")</f>
        <v>392329</v>
      </c>
      <c r="B465" t="str">
        <f>T("Sacs, sachets, pochettes et cornets, en matières plastiques (autres que les polymères de l'éthylène)")</f>
        <v>Sacs, sachets, pochettes et cornets, en matières plastiques (autres que les polymères de l'éthylène)</v>
      </c>
    </row>
    <row r="466" spans="1:4" x14ac:dyDescent="0.25">
      <c r="A466" t="str">
        <f>T("   ZZZ_Monde")</f>
        <v xml:space="preserve">   ZZZ_Monde</v>
      </c>
      <c r="B466" t="str">
        <f>T("   ZZZ_Monde")</f>
        <v xml:space="preserve">   ZZZ_Monde</v>
      </c>
      <c r="C466">
        <v>5207631</v>
      </c>
      <c r="D466">
        <v>14588</v>
      </c>
    </row>
    <row r="467" spans="1:4" x14ac:dyDescent="0.25">
      <c r="A467" t="str">
        <f>T("   FR")</f>
        <v xml:space="preserve">   FR</v>
      </c>
      <c r="B467" t="str">
        <f>T("   France")</f>
        <v xml:space="preserve">   France</v>
      </c>
      <c r="C467">
        <v>2096019</v>
      </c>
      <c r="D467">
        <v>588</v>
      </c>
    </row>
    <row r="468" spans="1:4" x14ac:dyDescent="0.25">
      <c r="A468" t="str">
        <f>T("   GH")</f>
        <v xml:space="preserve">   GH</v>
      </c>
      <c r="B468" t="str">
        <f>T("   Ghana")</f>
        <v xml:space="preserve">   Ghana</v>
      </c>
      <c r="C468">
        <v>3111612</v>
      </c>
      <c r="D468">
        <v>14000</v>
      </c>
    </row>
    <row r="469" spans="1:4" x14ac:dyDescent="0.25">
      <c r="A469" t="str">
        <f>T("392330")</f>
        <v>392330</v>
      </c>
      <c r="B469" t="str">
        <f>T("Bonbonnes, bouteilles, flacons et articles simil. pour le transport ou l'emballage, en matières plastiques")</f>
        <v>Bonbonnes, bouteilles, flacons et articles simil. pour le transport ou l'emballage, en matières plastiques</v>
      </c>
    </row>
    <row r="470" spans="1:4" x14ac:dyDescent="0.25">
      <c r="A470" t="str">
        <f>T("   ZZZ_Monde")</f>
        <v xml:space="preserve">   ZZZ_Monde</v>
      </c>
      <c r="B470" t="str">
        <f>T("   ZZZ_Monde")</f>
        <v xml:space="preserve">   ZZZ_Monde</v>
      </c>
      <c r="C470">
        <v>3950000</v>
      </c>
      <c r="D470">
        <v>14000</v>
      </c>
    </row>
    <row r="471" spans="1:4" x14ac:dyDescent="0.25">
      <c r="A471" t="str">
        <f>T("   FR")</f>
        <v xml:space="preserve">   FR</v>
      </c>
      <c r="B471" t="str">
        <f>T("   France")</f>
        <v xml:space="preserve">   France</v>
      </c>
      <c r="C471">
        <v>2000000</v>
      </c>
      <c r="D471">
        <v>1000</v>
      </c>
    </row>
    <row r="472" spans="1:4" x14ac:dyDescent="0.25">
      <c r="A472" t="str">
        <f>T("   GH")</f>
        <v xml:space="preserve">   GH</v>
      </c>
      <c r="B472" t="str">
        <f>T("   Ghana")</f>
        <v xml:space="preserve">   Ghana</v>
      </c>
      <c r="C472">
        <v>1950000</v>
      </c>
      <c r="D472">
        <v>13000</v>
      </c>
    </row>
    <row r="473" spans="1:4" x14ac:dyDescent="0.25">
      <c r="A473" t="str">
        <f>T("392490")</f>
        <v>392490</v>
      </c>
      <c r="B473" t="str">
        <f>T("Articles de ménage ou d'économie domestique et articles d'hygiène ou de toilette, en matières plastiques (à l'excl. de la vaisselle et des articles pour usages sanitaires ou hygiéniques tels que baignoires, douches, lavabos, bidets, réservoirs de chasse,")</f>
        <v>Articles de ménage ou d'économie domestique et articles d'hygiène ou de toilette, en matières plastiques (à l'excl. de la vaisselle et des articles pour usages sanitaires ou hygiéniques tels que baignoires, douches, lavabos, bidets, réservoirs de chasse,</v>
      </c>
    </row>
    <row r="474" spans="1:4" x14ac:dyDescent="0.25">
      <c r="A474" t="str">
        <f>T("   ZZZ_Monde")</f>
        <v xml:space="preserve">   ZZZ_Monde</v>
      </c>
      <c r="B474" t="str">
        <f>T("   ZZZ_Monde")</f>
        <v xml:space="preserve">   ZZZ_Monde</v>
      </c>
      <c r="C474">
        <v>1215000</v>
      </c>
      <c r="D474">
        <v>20000</v>
      </c>
    </row>
    <row r="475" spans="1:4" x14ac:dyDescent="0.25">
      <c r="A475" t="str">
        <f>T("   GA")</f>
        <v xml:space="preserve">   GA</v>
      </c>
      <c r="B475" t="str">
        <f>T("   Gabon")</f>
        <v xml:space="preserve">   Gabon</v>
      </c>
      <c r="C475">
        <v>1215000</v>
      </c>
      <c r="D475">
        <v>20000</v>
      </c>
    </row>
    <row r="476" spans="1:4" x14ac:dyDescent="0.25">
      <c r="A476" t="str">
        <f>T("392690")</f>
        <v>392690</v>
      </c>
      <c r="B476" t="str">
        <f>T("Ouvrages en matières plastiques et ouvrages en autres matières du n° 3901 à 3914, n.d.a.")</f>
        <v>Ouvrages en matières plastiques et ouvrages en autres matières du n° 3901 à 3914, n.d.a.</v>
      </c>
    </row>
    <row r="477" spans="1:4" x14ac:dyDescent="0.25">
      <c r="A477" t="str">
        <f>T("   ZZZ_Monde")</f>
        <v xml:space="preserve">   ZZZ_Monde</v>
      </c>
      <c r="B477" t="str">
        <f>T("   ZZZ_Monde")</f>
        <v xml:space="preserve">   ZZZ_Monde</v>
      </c>
      <c r="C477">
        <v>470000</v>
      </c>
      <c r="D477">
        <v>1000</v>
      </c>
    </row>
    <row r="478" spans="1:4" x14ac:dyDescent="0.25">
      <c r="A478" t="str">
        <f>T("   GA")</f>
        <v xml:space="preserve">   GA</v>
      </c>
      <c r="B478" t="str">
        <f>T("   Gabon")</f>
        <v xml:space="preserve">   Gabon</v>
      </c>
      <c r="C478">
        <v>470000</v>
      </c>
      <c r="D478">
        <v>1000</v>
      </c>
    </row>
    <row r="479" spans="1:4" x14ac:dyDescent="0.25">
      <c r="A479" t="str">
        <f>T("401120")</f>
        <v>401120</v>
      </c>
      <c r="B479" t="str">
        <f>T("Pneumatiques neufs, en caoutchouc, des types utilisés pour les autobus ou les camions (à l'excl. des pneumatiques à crampons, à chevrons ou simil.)")</f>
        <v>Pneumatiques neufs, en caoutchouc, des types utilisés pour les autobus ou les camions (à l'excl. des pneumatiques à crampons, à chevrons ou simil.)</v>
      </c>
    </row>
    <row r="480" spans="1:4" x14ac:dyDescent="0.25">
      <c r="A480" t="str">
        <f>T("   ZZZ_Monde")</f>
        <v xml:space="preserve">   ZZZ_Monde</v>
      </c>
      <c r="B480" t="str">
        <f>T("   ZZZ_Monde")</f>
        <v xml:space="preserve">   ZZZ_Monde</v>
      </c>
      <c r="C480">
        <v>22000000</v>
      </c>
      <c r="D480">
        <v>4950</v>
      </c>
    </row>
    <row r="481" spans="1:4" x14ac:dyDescent="0.25">
      <c r="A481" t="str">
        <f>T("   MA")</f>
        <v xml:space="preserve">   MA</v>
      </c>
      <c r="B481" t="str">
        <f>T("   Maroc")</f>
        <v xml:space="preserve">   Maroc</v>
      </c>
      <c r="C481">
        <v>22000000</v>
      </c>
      <c r="D481">
        <v>4950</v>
      </c>
    </row>
    <row r="482" spans="1:4" x14ac:dyDescent="0.25">
      <c r="A482" t="str">
        <f>T("401211")</f>
        <v>401211</v>
      </c>
      <c r="B482" t="str">
        <f>T("Pneumatiques rechapés, en caoutchouc, des types utilisés pour les voitures de tourisme, y.c. les voitures du type 'break' et les voitures de course")</f>
        <v>Pneumatiques rechapés, en caoutchouc, des types utilisés pour les voitures de tourisme, y.c. les voitures du type 'break' et les voitures de course</v>
      </c>
    </row>
    <row r="483" spans="1:4" x14ac:dyDescent="0.25">
      <c r="A483" t="str">
        <f>T("   ZZZ_Monde")</f>
        <v xml:space="preserve">   ZZZ_Monde</v>
      </c>
      <c r="B483" t="str">
        <f>T("   ZZZ_Monde")</f>
        <v xml:space="preserve">   ZZZ_Monde</v>
      </c>
      <c r="C483">
        <v>3000000</v>
      </c>
      <c r="D483">
        <v>8000</v>
      </c>
    </row>
    <row r="484" spans="1:4" x14ac:dyDescent="0.25">
      <c r="A484" t="str">
        <f>T("   GQ")</f>
        <v xml:space="preserve">   GQ</v>
      </c>
      <c r="B484" t="str">
        <f>T("   Guinée Equatoriale")</f>
        <v xml:space="preserve">   Guinée Equatoriale</v>
      </c>
      <c r="C484">
        <v>3000000</v>
      </c>
      <c r="D484">
        <v>8000</v>
      </c>
    </row>
    <row r="485" spans="1:4" x14ac:dyDescent="0.25">
      <c r="A485" t="str">
        <f>T("401220")</f>
        <v>401220</v>
      </c>
      <c r="B485" t="str">
        <f>T("Pneumatiques usagés, en caoutchouc")</f>
        <v>Pneumatiques usagés, en caoutchouc</v>
      </c>
    </row>
    <row r="486" spans="1:4" x14ac:dyDescent="0.25">
      <c r="A486" t="str">
        <f>T("   ZZZ_Monde")</f>
        <v xml:space="preserve">   ZZZ_Monde</v>
      </c>
      <c r="B486" t="str">
        <f>T("   ZZZ_Monde")</f>
        <v xml:space="preserve">   ZZZ_Monde</v>
      </c>
      <c r="C486">
        <v>400000</v>
      </c>
      <c r="D486">
        <v>1000</v>
      </c>
    </row>
    <row r="487" spans="1:4" x14ac:dyDescent="0.25">
      <c r="A487" t="str">
        <f>T("   GA")</f>
        <v xml:space="preserve">   GA</v>
      </c>
      <c r="B487" t="str">
        <f>T("   Gabon")</f>
        <v xml:space="preserve">   Gabon</v>
      </c>
      <c r="C487">
        <v>400000</v>
      </c>
      <c r="D487">
        <v>1000</v>
      </c>
    </row>
    <row r="488" spans="1:4" x14ac:dyDescent="0.25">
      <c r="A488" t="str">
        <f>T("401290")</f>
        <v>401290</v>
      </c>
      <c r="B488" t="str">
        <f>T("Bandages pleins ou creux [mi-pleins], bandes de roulement amovibles pour pneumatiques et flaps, en caoutchouc")</f>
        <v>Bandages pleins ou creux [mi-pleins], bandes de roulement amovibles pour pneumatiques et flaps, en caoutchouc</v>
      </c>
    </row>
    <row r="489" spans="1:4" x14ac:dyDescent="0.25">
      <c r="A489" t="str">
        <f>T("   ZZZ_Monde")</f>
        <v xml:space="preserve">   ZZZ_Monde</v>
      </c>
      <c r="B489" t="str">
        <f>T("   ZZZ_Monde")</f>
        <v xml:space="preserve">   ZZZ_Monde</v>
      </c>
      <c r="C489">
        <v>223026</v>
      </c>
      <c r="D489">
        <v>2774</v>
      </c>
    </row>
    <row r="490" spans="1:4" x14ac:dyDescent="0.25">
      <c r="A490" t="str">
        <f>T("   GN")</f>
        <v xml:space="preserve">   GN</v>
      </c>
      <c r="B490" t="str">
        <f>T("   Guinée")</f>
        <v xml:space="preserve">   Guinée</v>
      </c>
      <c r="C490">
        <v>223026</v>
      </c>
      <c r="D490">
        <v>2774</v>
      </c>
    </row>
    <row r="491" spans="1:4" x14ac:dyDescent="0.25">
      <c r="A491" t="str">
        <f>T("401410")</f>
        <v>401410</v>
      </c>
      <c r="B491" t="str">
        <f>T("Préservatifs en caoutchouc vulcanisé non durci")</f>
        <v>Préservatifs en caoutchouc vulcanisé non durci</v>
      </c>
    </row>
    <row r="492" spans="1:4" x14ac:dyDescent="0.25">
      <c r="A492" t="str">
        <f>T("   ZZZ_Monde")</f>
        <v xml:space="preserve">   ZZZ_Monde</v>
      </c>
      <c r="B492" t="str">
        <f>T("   ZZZ_Monde")</f>
        <v xml:space="preserve">   ZZZ_Monde</v>
      </c>
      <c r="C492">
        <v>1000000</v>
      </c>
      <c r="D492">
        <v>8000</v>
      </c>
    </row>
    <row r="493" spans="1:4" x14ac:dyDescent="0.25">
      <c r="A493" t="str">
        <f>T("   TG")</f>
        <v xml:space="preserve">   TG</v>
      </c>
      <c r="B493" t="str">
        <f>T("   Togo")</f>
        <v xml:space="preserve">   Togo</v>
      </c>
      <c r="C493">
        <v>1000000</v>
      </c>
      <c r="D493">
        <v>8000</v>
      </c>
    </row>
    <row r="494" spans="1:4" x14ac:dyDescent="0.25">
      <c r="A494" t="str">
        <f>T("410530")</f>
        <v>410530</v>
      </c>
      <c r="B494" t="str">
        <f>T("PEAUX D'OVINS, À L'ÉTAT SEC [EN CROÛTE], ÉPILÉES, MÊME REFENDUES (SAUF AUTREMENT PRÉPARÉÉS AINSI QUE SIMPL. PRÉTANNÉES)")</f>
        <v>PEAUX D'OVINS, À L'ÉTAT SEC [EN CROÛTE], ÉPILÉES, MÊME REFENDUES (SAUF AUTREMENT PRÉPARÉÉS AINSI QUE SIMPL. PRÉTANNÉES)</v>
      </c>
    </row>
    <row r="495" spans="1:4" x14ac:dyDescent="0.25">
      <c r="A495" t="str">
        <f>T("   ZZZ_Monde")</f>
        <v xml:space="preserve">   ZZZ_Monde</v>
      </c>
      <c r="B495" t="str">
        <f>T("   ZZZ_Monde")</f>
        <v xml:space="preserve">   ZZZ_Monde</v>
      </c>
      <c r="C495">
        <v>37345000</v>
      </c>
      <c r="D495">
        <v>23749</v>
      </c>
    </row>
    <row r="496" spans="1:4" x14ac:dyDescent="0.25">
      <c r="A496" t="str">
        <f>T("   CN")</f>
        <v xml:space="preserve">   CN</v>
      </c>
      <c r="B496" t="str">
        <f>T("   Chine")</f>
        <v xml:space="preserve">   Chine</v>
      </c>
      <c r="C496">
        <v>22645000</v>
      </c>
      <c r="D496">
        <v>15609</v>
      </c>
    </row>
    <row r="497" spans="1:4" x14ac:dyDescent="0.25">
      <c r="A497" t="str">
        <f>T("   PK")</f>
        <v xml:space="preserve">   PK</v>
      </c>
      <c r="B497" t="str">
        <f>T("   Pakistan")</f>
        <v xml:space="preserve">   Pakistan</v>
      </c>
      <c r="C497">
        <v>14700000</v>
      </c>
      <c r="D497">
        <v>8140</v>
      </c>
    </row>
    <row r="498" spans="1:4" x14ac:dyDescent="0.25">
      <c r="A498" t="str">
        <f>T("420219")</f>
        <v>420219</v>
      </c>
      <c r="B498" t="str">
        <f>T("Malles, valises et mallettes, y.c. les mallettes de toilette et mallettes porte-documents, serviettes, cartables et contenants simil. (à l'excl. des articles à surface extérieure en cuir naturel, reconstitué ou verni, en matières plastiques ou en matières")</f>
        <v>Malles, valises et mallettes, y.c. les mallettes de toilette et mallettes porte-documents, serviettes, cartables et contenants simil. (à l'excl. des articles à surface extérieure en cuir naturel, reconstitué ou verni, en matières plastiques ou en matières</v>
      </c>
    </row>
    <row r="499" spans="1:4" x14ac:dyDescent="0.25">
      <c r="A499" t="str">
        <f>T("   ZZZ_Monde")</f>
        <v xml:space="preserve">   ZZZ_Monde</v>
      </c>
      <c r="B499" t="str">
        <f>T("   ZZZ_Monde")</f>
        <v xml:space="preserve">   ZZZ_Monde</v>
      </c>
      <c r="C499">
        <v>9567475</v>
      </c>
      <c r="D499">
        <v>73310</v>
      </c>
    </row>
    <row r="500" spans="1:4" x14ac:dyDescent="0.25">
      <c r="A500" t="str">
        <f>T("   CG")</f>
        <v xml:space="preserve">   CG</v>
      </c>
      <c r="B500" t="str">
        <f>T("   Congo (Brazzaville)")</f>
        <v xml:space="preserve">   Congo (Brazzaville)</v>
      </c>
      <c r="C500">
        <v>2000000</v>
      </c>
      <c r="D500">
        <v>15810</v>
      </c>
    </row>
    <row r="501" spans="1:4" x14ac:dyDescent="0.25">
      <c r="A501" t="str">
        <f>T("   GA")</f>
        <v xml:space="preserve">   GA</v>
      </c>
      <c r="B501" t="str">
        <f>T("   Gabon")</f>
        <v xml:space="preserve">   Gabon</v>
      </c>
      <c r="C501">
        <v>6000000</v>
      </c>
      <c r="D501">
        <v>57000</v>
      </c>
    </row>
    <row r="502" spans="1:4" x14ac:dyDescent="0.25">
      <c r="A502" t="str">
        <f>T("   LB")</f>
        <v xml:space="preserve">   LB</v>
      </c>
      <c r="B502" t="str">
        <f>T("   Liban")</f>
        <v xml:space="preserve">   Liban</v>
      </c>
      <c r="C502">
        <v>1567475</v>
      </c>
      <c r="D502">
        <v>500</v>
      </c>
    </row>
    <row r="503" spans="1:4" x14ac:dyDescent="0.25">
      <c r="A503" t="str">
        <f>T("420292")</f>
        <v>420292</v>
      </c>
      <c r="B503" t="str">
        <f>T("Sacs de voyage, sacs isolants pour produits alimentaires et boissons, trousses de toilette, sacs à dos, sacs à provisions, porte-cartes, trousses à outils, sacs pour articles de sport, boîtes pour bijoux, écrins pour orfèvrerie et étuis pour jumelles, app")</f>
        <v>Sacs de voyage, sacs isolants pour produits alimentaires et boissons, trousses de toilette, sacs à dos, sacs à provisions, porte-cartes, trousses à outils, sacs pour articles de sport, boîtes pour bijoux, écrins pour orfèvrerie et étuis pour jumelles, app</v>
      </c>
    </row>
    <row r="504" spans="1:4" x14ac:dyDescent="0.25">
      <c r="A504" t="str">
        <f>T("   ZZZ_Monde")</f>
        <v xml:space="preserve">   ZZZ_Monde</v>
      </c>
      <c r="B504" t="str">
        <f>T("   ZZZ_Monde")</f>
        <v xml:space="preserve">   ZZZ_Monde</v>
      </c>
      <c r="C504">
        <v>700000</v>
      </c>
      <c r="D504">
        <v>585</v>
      </c>
    </row>
    <row r="505" spans="1:4" x14ac:dyDescent="0.25">
      <c r="A505" t="str">
        <f>T("   TG")</f>
        <v xml:space="preserve">   TG</v>
      </c>
      <c r="B505" t="str">
        <f>T("   Togo")</f>
        <v xml:space="preserve">   Togo</v>
      </c>
      <c r="C505">
        <v>700000</v>
      </c>
      <c r="D505">
        <v>585</v>
      </c>
    </row>
    <row r="506" spans="1:4" x14ac:dyDescent="0.25">
      <c r="A506" t="str">
        <f>T("420299")</f>
        <v>420299</v>
      </c>
      <c r="B506" t="str">
        <f>T("Sacs de voyage, trousses de toilette, sacs à dos, sacs à provisions, porte-cartes, trousses à outils, sacs pour articles de sport, boîtes pour bijoux, écrins pour orfèvrerie et étuis pour jumelles, appareils photographiques, caméras, instruments de musiqu")</f>
        <v>Sacs de voyage, trousses de toilette, sacs à dos, sacs à provisions, porte-cartes, trousses à outils, sacs pour articles de sport, boîtes pour bijoux, écrins pour orfèvrerie et étuis pour jumelles, appareils photographiques, caméras, instruments de musiqu</v>
      </c>
    </row>
    <row r="507" spans="1:4" x14ac:dyDescent="0.25">
      <c r="A507" t="str">
        <f>T("   ZZZ_Monde")</f>
        <v xml:space="preserve">   ZZZ_Monde</v>
      </c>
      <c r="B507" t="str">
        <f>T("   ZZZ_Monde")</f>
        <v xml:space="preserve">   ZZZ_Monde</v>
      </c>
      <c r="C507">
        <v>3245689</v>
      </c>
      <c r="D507">
        <v>302</v>
      </c>
    </row>
    <row r="508" spans="1:4" x14ac:dyDescent="0.25">
      <c r="A508" t="str">
        <f>T("   NG")</f>
        <v xml:space="preserve">   NG</v>
      </c>
      <c r="B508" t="str">
        <f>T("   Nigéria")</f>
        <v xml:space="preserve">   Nigéria</v>
      </c>
      <c r="C508">
        <v>3245689</v>
      </c>
      <c r="D508">
        <v>302</v>
      </c>
    </row>
    <row r="509" spans="1:4" x14ac:dyDescent="0.25">
      <c r="A509" t="str">
        <f>T("440110")</f>
        <v>440110</v>
      </c>
      <c r="B509" t="str">
        <f>T("BOIS DE CHAUFFAGE EN RONDINS, B¹CHES, RAMILLES, FAGOTS OU SOUS FORMES SIMIL.")</f>
        <v>BOIS DE CHAUFFAGE EN RONDINS, B¹CHES, RAMILLES, FAGOTS OU SOUS FORMES SIMIL.</v>
      </c>
    </row>
    <row r="510" spans="1:4" x14ac:dyDescent="0.25">
      <c r="A510" t="str">
        <f>T("   ZZZ_Monde")</f>
        <v xml:space="preserve">   ZZZ_Monde</v>
      </c>
      <c r="B510" t="str">
        <f>T("   ZZZ_Monde")</f>
        <v xml:space="preserve">   ZZZ_Monde</v>
      </c>
      <c r="C510">
        <v>13000000</v>
      </c>
      <c r="D510">
        <v>130000</v>
      </c>
    </row>
    <row r="511" spans="1:4" x14ac:dyDescent="0.25">
      <c r="A511" t="str">
        <f>T("   CN")</f>
        <v xml:space="preserve">   CN</v>
      </c>
      <c r="B511" t="str">
        <f>T("   Chine")</f>
        <v xml:space="preserve">   Chine</v>
      </c>
      <c r="C511">
        <v>13000000</v>
      </c>
      <c r="D511">
        <v>130000</v>
      </c>
    </row>
    <row r="512" spans="1:4" x14ac:dyDescent="0.25">
      <c r="A512" t="str">
        <f>T("440121")</f>
        <v>440121</v>
      </c>
      <c r="B512" t="str">
        <f>T("Bois de conifères, en plaquettes ou en particules (à l'excl. des bois des espèces utilisées principalement pour la teinture ou le tannage)")</f>
        <v>Bois de conifères, en plaquettes ou en particules (à l'excl. des bois des espèces utilisées principalement pour la teinture ou le tannage)</v>
      </c>
    </row>
    <row r="513" spans="1:4" x14ac:dyDescent="0.25">
      <c r="A513" t="str">
        <f>T("   ZZZ_Monde")</f>
        <v xml:space="preserve">   ZZZ_Monde</v>
      </c>
      <c r="B513" t="str">
        <f>T("   ZZZ_Monde")</f>
        <v xml:space="preserve">   ZZZ_Monde</v>
      </c>
      <c r="C513">
        <v>6120000</v>
      </c>
      <c r="D513">
        <v>40000</v>
      </c>
    </row>
    <row r="514" spans="1:4" x14ac:dyDescent="0.25">
      <c r="A514" t="str">
        <f>T("   CN")</f>
        <v xml:space="preserve">   CN</v>
      </c>
      <c r="B514" t="str">
        <f>T("   Chine")</f>
        <v xml:space="preserve">   Chine</v>
      </c>
      <c r="C514">
        <v>6120000</v>
      </c>
      <c r="D514">
        <v>40000</v>
      </c>
    </row>
    <row r="515" spans="1:4" x14ac:dyDescent="0.25">
      <c r="A515" t="str">
        <f>T("440200")</f>
        <v>440200</v>
      </c>
      <c r="B515" t="str">
        <f>T("Charbon de bois - y.c. le charbon de coques ou de noix -, même aggloméré (à l'excl. des fusains et du charbon de bois conditionné comme médicament, mélangé d'encens ou activé)")</f>
        <v>Charbon de bois - y.c. le charbon de coques ou de noix -, même aggloméré (à l'excl. des fusains et du charbon de bois conditionné comme médicament, mélangé d'encens ou activé)</v>
      </c>
    </row>
    <row r="516" spans="1:4" x14ac:dyDescent="0.25">
      <c r="A516" t="str">
        <f>T("   ZZZ_Monde")</f>
        <v xml:space="preserve">   ZZZ_Monde</v>
      </c>
      <c r="B516" t="str">
        <f>T("   ZZZ_Monde")</f>
        <v xml:space="preserve">   ZZZ_Monde</v>
      </c>
      <c r="C516">
        <v>1017000</v>
      </c>
      <c r="D516">
        <v>33900</v>
      </c>
    </row>
    <row r="517" spans="1:4" x14ac:dyDescent="0.25">
      <c r="A517" t="str">
        <f>T("   DE")</f>
        <v xml:space="preserve">   DE</v>
      </c>
      <c r="B517" t="str">
        <f>T("   Allemagne")</f>
        <v xml:space="preserve">   Allemagne</v>
      </c>
      <c r="C517">
        <v>1017000</v>
      </c>
      <c r="D517">
        <v>33900</v>
      </c>
    </row>
    <row r="518" spans="1:4" x14ac:dyDescent="0.25">
      <c r="A518" t="str">
        <f>T("440310")</f>
        <v>440310</v>
      </c>
      <c r="B518" t="str">
        <f>T("Bois bruts, traités avec une peinture, de la créosote ou d'autres agents de conservation (à l'excl. des bois simplement dégrossis ou arrondis pour cannes, parapluies, manches d'outils ou simil., des traverses en bois pour voies ferrées ou simil. ainsi que")</f>
        <v>Bois bruts, traités avec une peinture, de la créosote ou d'autres agents de conservation (à l'excl. des bois simplement dégrossis ou arrondis pour cannes, parapluies, manches d'outils ou simil., des traverses en bois pour voies ferrées ou simil. ainsi que</v>
      </c>
    </row>
    <row r="519" spans="1:4" x14ac:dyDescent="0.25">
      <c r="A519" t="str">
        <f>T("   ZZZ_Monde")</f>
        <v xml:space="preserve">   ZZZ_Monde</v>
      </c>
      <c r="B519" t="str">
        <f>T("   ZZZ_Monde")</f>
        <v xml:space="preserve">   ZZZ_Monde</v>
      </c>
      <c r="C519">
        <v>37192770</v>
      </c>
      <c r="D519">
        <v>300000</v>
      </c>
    </row>
    <row r="520" spans="1:4" x14ac:dyDescent="0.25">
      <c r="A520" t="str">
        <f>T("   IN")</f>
        <v xml:space="preserve">   IN</v>
      </c>
      <c r="B520" t="str">
        <f>T("   Inde")</f>
        <v xml:space="preserve">   Inde</v>
      </c>
      <c r="C520">
        <v>37192770</v>
      </c>
      <c r="D520">
        <v>300000</v>
      </c>
    </row>
    <row r="521" spans="1:4" x14ac:dyDescent="0.25">
      <c r="A521" t="str">
        <f>T("440320")</f>
        <v>440320</v>
      </c>
      <c r="B521" t="str">
        <f>T("BOIS BRUTS DE CONIFÈRES, MÊME ÉCORCÉS, DÉSAUBIÉRÉS OU ÉQUARRIS (À L'EXCL. DES BOIS TRAITÉS AVEC UNE PEINTURE, DE LA CRÉOSOTE OU D'AUTRES AGENTS DE CONSERVATION, DES BOIS SIMPL. DÉGROSSIS OU ARRONDIS POUR CANNES, PARAPLUIES, MANCHES D'OUTILS OU SIMIL., DES")</f>
        <v>BOIS BRUTS DE CONIFÈRES, MÊME ÉCORCÉS, DÉSAUBIÉRÉS OU ÉQUARRIS (À L'EXCL. DES BOIS TRAITÉS AVEC UNE PEINTURE, DE LA CRÉOSOTE OU D'AUTRES AGENTS DE CONSERVATION, DES BOIS SIMPL. DÉGROSSIS OU ARRONDIS POUR CANNES, PARAPLUIES, MANCHES D'OUTILS OU SIMIL., DES</v>
      </c>
    </row>
    <row r="522" spans="1:4" x14ac:dyDescent="0.25">
      <c r="A522" t="str">
        <f>T("   ZZZ_Monde")</f>
        <v xml:space="preserve">   ZZZ_Monde</v>
      </c>
      <c r="B522" t="str">
        <f>T("   ZZZ_Monde")</f>
        <v xml:space="preserve">   ZZZ_Monde</v>
      </c>
      <c r="C522">
        <v>96175355</v>
      </c>
      <c r="D522">
        <v>958500</v>
      </c>
    </row>
    <row r="523" spans="1:4" x14ac:dyDescent="0.25">
      <c r="A523" t="str">
        <f>T("   CN")</f>
        <v xml:space="preserve">   CN</v>
      </c>
      <c r="B523" t="str">
        <f>T("   Chine")</f>
        <v xml:space="preserve">   Chine</v>
      </c>
      <c r="C523">
        <v>59865919</v>
      </c>
      <c r="D523">
        <v>440000</v>
      </c>
    </row>
    <row r="524" spans="1:4" x14ac:dyDescent="0.25">
      <c r="A524" t="str">
        <f>T("   IN")</f>
        <v xml:space="preserve">   IN</v>
      </c>
      <c r="B524" t="str">
        <f>T("   Inde")</f>
        <v xml:space="preserve">   Inde</v>
      </c>
      <c r="C524">
        <v>36309436</v>
      </c>
      <c r="D524">
        <v>518500</v>
      </c>
    </row>
    <row r="525" spans="1:4" x14ac:dyDescent="0.25">
      <c r="A525" t="str">
        <f>T("440349")</f>
        <v>440349</v>
      </c>
      <c r="B525" t="str">
        <f>T("Bois bruts des bois tropicaux visés à la note 1 de sous-position du présent chapitre, même écorcés, désaubiérés ou équarris (à l'excl. des bois de dark red meranti, light red meranti, meranti bakau, des bois traités avec une peinture, de la créosote ou d'")</f>
        <v>Bois bruts des bois tropicaux visés à la note 1 de sous-position du présent chapitre, même écorcés, désaubiérés ou équarris (à l'excl. des bois de dark red meranti, light red meranti, meranti bakau, des bois traités avec une peinture, de la créosote ou d'</v>
      </c>
    </row>
    <row r="526" spans="1:4" x14ac:dyDescent="0.25">
      <c r="A526" t="str">
        <f>T("   ZZZ_Monde")</f>
        <v xml:space="preserve">   ZZZ_Monde</v>
      </c>
      <c r="B526" t="str">
        <f>T("   ZZZ_Monde")</f>
        <v xml:space="preserve">   ZZZ_Monde</v>
      </c>
      <c r="C526">
        <v>111802550</v>
      </c>
      <c r="D526">
        <v>812000</v>
      </c>
    </row>
    <row r="527" spans="1:4" x14ac:dyDescent="0.25">
      <c r="A527" t="str">
        <f>T("   CN")</f>
        <v xml:space="preserve">   CN</v>
      </c>
      <c r="B527" t="str">
        <f>T("   Chine")</f>
        <v xml:space="preserve">   Chine</v>
      </c>
      <c r="C527">
        <v>6489300</v>
      </c>
      <c r="D527">
        <v>30000</v>
      </c>
    </row>
    <row r="528" spans="1:4" x14ac:dyDescent="0.25">
      <c r="A528" t="str">
        <f>T("   IN")</f>
        <v xml:space="preserve">   IN</v>
      </c>
      <c r="B528" t="str">
        <f>T("   Inde")</f>
        <v xml:space="preserve">   Inde</v>
      </c>
      <c r="C528">
        <v>105313250</v>
      </c>
      <c r="D528">
        <v>782000</v>
      </c>
    </row>
    <row r="529" spans="1:4" x14ac:dyDescent="0.25">
      <c r="A529" t="str">
        <f>T("440399")</f>
        <v>440399</v>
      </c>
      <c r="B529" t="str">
        <f>T("BOIS BRUTS, MÊME ÉCORCÉS, DÉSAUBIÉRÉS OU ÉQUARRIS (SAUF BOIS DE CONIFÈRES, BOIS DE CHÊNE 'QUERCUS SPP.' OU DE HÊTRE 'FAGUS SPP.', BOIS TROPICAUX VISÉS À LA NOTE 1 DE SOUS-POSITION DU PRÉSENT CHAPITRE, BOIS SIMPL. DÉGROSSIS OU ARRONDIS POUR CANNES, PARAPLU")</f>
        <v>BOIS BRUTS, MÊME ÉCORCÉS, DÉSAUBIÉRÉS OU ÉQUARRIS (SAUF BOIS DE CONIFÈRES, BOIS DE CHÊNE 'QUERCUS SPP.' OU DE HÊTRE 'FAGUS SPP.', BOIS TROPICAUX VISÉS À LA NOTE 1 DE SOUS-POSITION DU PRÉSENT CHAPITRE, BOIS SIMPL. DÉGROSSIS OU ARRONDIS POUR CANNES, PARAPLU</v>
      </c>
    </row>
    <row r="530" spans="1:4" x14ac:dyDescent="0.25">
      <c r="A530" t="str">
        <f>T("   ZZZ_Monde")</f>
        <v xml:space="preserve">   ZZZ_Monde</v>
      </c>
      <c r="B530" t="str">
        <f>T("   ZZZ_Monde")</f>
        <v xml:space="preserve">   ZZZ_Monde</v>
      </c>
      <c r="C530">
        <v>480645190</v>
      </c>
      <c r="D530">
        <v>16515859</v>
      </c>
    </row>
    <row r="531" spans="1:4" x14ac:dyDescent="0.25">
      <c r="A531" t="str">
        <f>T("   CH")</f>
        <v xml:space="preserve">   CH</v>
      </c>
      <c r="B531" t="str">
        <f>T("   Suisse")</f>
        <v xml:space="preserve">   Suisse</v>
      </c>
      <c r="C531">
        <v>6000000</v>
      </c>
      <c r="D531">
        <v>670000</v>
      </c>
    </row>
    <row r="532" spans="1:4" x14ac:dyDescent="0.25">
      <c r="A532" t="str">
        <f>T("   CN")</f>
        <v xml:space="preserve">   CN</v>
      </c>
      <c r="B532" t="str">
        <f>T("   Chine")</f>
        <v xml:space="preserve">   Chine</v>
      </c>
      <c r="C532">
        <v>109870500</v>
      </c>
      <c r="D532">
        <v>9300859</v>
      </c>
    </row>
    <row r="533" spans="1:4" x14ac:dyDescent="0.25">
      <c r="A533" t="str">
        <f>T("   IN")</f>
        <v xml:space="preserve">   IN</v>
      </c>
      <c r="B533" t="str">
        <f>T("   Inde")</f>
        <v xml:space="preserve">   Inde</v>
      </c>
      <c r="C533">
        <v>364774690</v>
      </c>
      <c r="D533">
        <v>6545000</v>
      </c>
    </row>
    <row r="534" spans="1:4" x14ac:dyDescent="0.25">
      <c r="A534" t="str">
        <f>T("440410")</f>
        <v>440410</v>
      </c>
      <c r="B534" t="str">
        <f>T("Bois feuillards; échalas fendus; pieux et piquets en bois, appointés, non sciés longitudinalement; bois simplement dégrossis ou arrondis, non tournés ni courbés ni autrement travaillés, pour cannes, parapluies, manches d'outils ou simil.; bois en lames, r")</f>
        <v>Bois feuillards; échalas fendus; pieux et piquets en bois, appointés, non sciés longitudinalement; bois simplement dégrossis ou arrondis, non tournés ni courbés ni autrement travaillés, pour cannes, parapluies, manches d'outils ou simil.; bois en lames, r</v>
      </c>
    </row>
    <row r="535" spans="1:4" x14ac:dyDescent="0.25">
      <c r="A535" t="str">
        <f>T("   ZZZ_Monde")</f>
        <v xml:space="preserve">   ZZZ_Monde</v>
      </c>
      <c r="B535" t="str">
        <f>T("   ZZZ_Monde")</f>
        <v xml:space="preserve">   ZZZ_Monde</v>
      </c>
      <c r="C535">
        <v>8265060</v>
      </c>
      <c r="D535">
        <v>100000</v>
      </c>
    </row>
    <row r="536" spans="1:4" x14ac:dyDescent="0.25">
      <c r="A536" t="str">
        <f>T("   IN")</f>
        <v xml:space="preserve">   IN</v>
      </c>
      <c r="B536" t="str">
        <f>T("   Inde")</f>
        <v xml:space="preserve">   Inde</v>
      </c>
      <c r="C536">
        <v>8265060</v>
      </c>
      <c r="D536">
        <v>100000</v>
      </c>
    </row>
    <row r="537" spans="1:4" x14ac:dyDescent="0.25">
      <c r="A537" t="str">
        <f>T("440420")</f>
        <v>440420</v>
      </c>
      <c r="B537" t="str">
        <f>T("Bois feuillards; échalas fendus; pieux et piquets en bois, appointés, non sciés longitudinalement; bois dégrossis ou arrondis, non tournés ni courbés ni autrement travaillés, pour cannes, manches d'outils ou simil.; bois en lames, rubans et simil. (sauf a")</f>
        <v>Bois feuillards; échalas fendus; pieux et piquets en bois, appointés, non sciés longitudinalement; bois dégrossis ou arrondis, non tournés ni courbés ni autrement travaillés, pour cannes, manches d'outils ou simil.; bois en lames, rubans et simil. (sauf a</v>
      </c>
    </row>
    <row r="538" spans="1:4" x14ac:dyDescent="0.25">
      <c r="A538" t="str">
        <f>T("   ZZZ_Monde")</f>
        <v xml:space="preserve">   ZZZ_Monde</v>
      </c>
      <c r="B538" t="str">
        <f>T("   ZZZ_Monde")</f>
        <v xml:space="preserve">   ZZZ_Monde</v>
      </c>
      <c r="C538">
        <v>366104828</v>
      </c>
      <c r="D538">
        <v>1736000</v>
      </c>
    </row>
    <row r="539" spans="1:4" x14ac:dyDescent="0.25">
      <c r="A539" t="str">
        <f>T("   CN")</f>
        <v xml:space="preserve">   CN</v>
      </c>
      <c r="B539" t="str">
        <f>T("   Chine")</f>
        <v xml:space="preserve">   Chine</v>
      </c>
      <c r="C539">
        <v>134098878</v>
      </c>
      <c r="D539">
        <v>616000</v>
      </c>
    </row>
    <row r="540" spans="1:4" x14ac:dyDescent="0.25">
      <c r="A540" t="str">
        <f>T("   NG")</f>
        <v xml:space="preserve">   NG</v>
      </c>
      <c r="B540" t="str">
        <f>T("   Nigéria")</f>
        <v xml:space="preserve">   Nigéria</v>
      </c>
      <c r="C540">
        <v>232005950</v>
      </c>
      <c r="D540">
        <v>1120000</v>
      </c>
    </row>
    <row r="541" spans="1:4" x14ac:dyDescent="0.25">
      <c r="A541" t="str">
        <f>T("440500")</f>
        <v>440500</v>
      </c>
      <c r="B541" t="str">
        <f>T("Laine [paille] de bois; farine de bois, c'est-à-dire la poudre de bois passant, avec au maximum 8% en poids de déchets, au tamis ayant une ouverture de mailles de 0,63 mm")</f>
        <v>Laine [paille] de bois; farine de bois, c'est-à-dire la poudre de bois passant, avec au maximum 8% en poids de déchets, au tamis ayant une ouverture de mailles de 0,63 mm</v>
      </c>
    </row>
    <row r="542" spans="1:4" x14ac:dyDescent="0.25">
      <c r="A542" t="str">
        <f>T("   ZZZ_Monde")</f>
        <v xml:space="preserve">   ZZZ_Monde</v>
      </c>
      <c r="B542" t="str">
        <f>T("   ZZZ_Monde")</f>
        <v xml:space="preserve">   ZZZ_Monde</v>
      </c>
      <c r="C542">
        <v>422319870</v>
      </c>
      <c r="D542">
        <v>4982000</v>
      </c>
    </row>
    <row r="543" spans="1:4" x14ac:dyDescent="0.25">
      <c r="A543" t="str">
        <f>T("   CN")</f>
        <v xml:space="preserve">   CN</v>
      </c>
      <c r="B543" t="str">
        <f>T("   Chine")</f>
        <v xml:space="preserve">   Chine</v>
      </c>
      <c r="C543">
        <v>95850000</v>
      </c>
      <c r="D543">
        <v>2512000</v>
      </c>
    </row>
    <row r="544" spans="1:4" x14ac:dyDescent="0.25">
      <c r="A544" t="str">
        <f>T("   DE")</f>
        <v xml:space="preserve">   DE</v>
      </c>
      <c r="B544" t="str">
        <f>T("   Allemagne")</f>
        <v xml:space="preserve">   Allemagne</v>
      </c>
      <c r="C544">
        <v>4132530</v>
      </c>
      <c r="D544">
        <v>30000</v>
      </c>
    </row>
    <row r="545" spans="1:4" x14ac:dyDescent="0.25">
      <c r="A545" t="str">
        <f>T("   IN")</f>
        <v xml:space="preserve">   IN</v>
      </c>
      <c r="B545" t="str">
        <f>T("   Inde")</f>
        <v xml:space="preserve">   Inde</v>
      </c>
      <c r="C545">
        <v>322337340</v>
      </c>
      <c r="D545">
        <v>2440000</v>
      </c>
    </row>
    <row r="546" spans="1:4" x14ac:dyDescent="0.25">
      <c r="A546" t="str">
        <f>T("440729")</f>
        <v>440729</v>
      </c>
      <c r="B546" t="str">
        <f>T("Bois tropicaux visés à la note 1 de sous-position du présent chapitre, sciés ou dédossés longitudinalement, tranchés ou déroulés, même rabotés, poncés ou collés par assemblage en bout, d'une épaisseur &gt; 6 mm (sauf virola, mahogany 'Swietenia spp.', imbuia")</f>
        <v>Bois tropicaux visés à la note 1 de sous-position du présent chapitre, sciés ou dédossés longitudinalement, tranchés ou déroulés, même rabotés, poncés ou collés par assemblage en bout, d'une épaisseur &gt; 6 mm (sauf virola, mahogany 'Swietenia spp.', imbuia</v>
      </c>
    </row>
    <row r="547" spans="1:4" x14ac:dyDescent="0.25">
      <c r="A547" t="str">
        <f>T("   ZZZ_Monde")</f>
        <v xml:space="preserve">   ZZZ_Monde</v>
      </c>
      <c r="B547" t="str">
        <f>T("   ZZZ_Monde")</f>
        <v xml:space="preserve">   ZZZ_Monde</v>
      </c>
      <c r="C547">
        <v>355092869</v>
      </c>
      <c r="D547">
        <v>19514465</v>
      </c>
    </row>
    <row r="548" spans="1:4" x14ac:dyDescent="0.25">
      <c r="A548" t="str">
        <f>T("   AE")</f>
        <v xml:space="preserve">   AE</v>
      </c>
      <c r="B548" t="str">
        <f>T("   Emirats Arabes Unis")</f>
        <v xml:space="preserve">   Emirats Arabes Unis</v>
      </c>
      <c r="C548">
        <v>487000</v>
      </c>
      <c r="D548">
        <v>26000</v>
      </c>
    </row>
    <row r="549" spans="1:4" x14ac:dyDescent="0.25">
      <c r="A549" t="str">
        <f>T("   CN")</f>
        <v xml:space="preserve">   CN</v>
      </c>
      <c r="B549" t="str">
        <f>T("   Chine")</f>
        <v xml:space="preserve">   Chine</v>
      </c>
      <c r="C549">
        <v>138428743</v>
      </c>
      <c r="D549">
        <v>18334000</v>
      </c>
    </row>
    <row r="550" spans="1:4" x14ac:dyDescent="0.25">
      <c r="A550" t="str">
        <f>T("   DE")</f>
        <v xml:space="preserve">   DE</v>
      </c>
      <c r="B550" t="str">
        <f>T("   Allemagne")</f>
        <v xml:space="preserve">   Allemagne</v>
      </c>
      <c r="C550">
        <v>54569978</v>
      </c>
      <c r="D550">
        <v>28320</v>
      </c>
    </row>
    <row r="551" spans="1:4" x14ac:dyDescent="0.25">
      <c r="A551" t="str">
        <f>T("   ID")</f>
        <v xml:space="preserve">   ID</v>
      </c>
      <c r="B551" t="str">
        <f>T("   Indonésie")</f>
        <v xml:space="preserve">   Indonésie</v>
      </c>
      <c r="C551">
        <v>105394506</v>
      </c>
      <c r="D551">
        <v>450000</v>
      </c>
    </row>
    <row r="552" spans="1:4" x14ac:dyDescent="0.25">
      <c r="A552" t="str">
        <f>T("   IN")</f>
        <v xml:space="preserve">   IN</v>
      </c>
      <c r="B552" t="str">
        <f>T("   Inde")</f>
        <v xml:space="preserve">   Inde</v>
      </c>
      <c r="C552">
        <v>50238642</v>
      </c>
      <c r="D552">
        <v>386745</v>
      </c>
    </row>
    <row r="553" spans="1:4" x14ac:dyDescent="0.25">
      <c r="A553" t="str">
        <f>T("   PK")</f>
        <v xml:space="preserve">   PK</v>
      </c>
      <c r="B553" t="str">
        <f>T("   Pakistan")</f>
        <v xml:space="preserve">   Pakistan</v>
      </c>
      <c r="C553">
        <v>974000</v>
      </c>
      <c r="D553">
        <v>39400</v>
      </c>
    </row>
    <row r="554" spans="1:4" x14ac:dyDescent="0.25">
      <c r="A554" t="str">
        <f>T("   TG")</f>
        <v xml:space="preserve">   TG</v>
      </c>
      <c r="B554" t="str">
        <f>T("   Togo")</f>
        <v xml:space="preserve">   Togo</v>
      </c>
      <c r="C554">
        <v>5000000</v>
      </c>
      <c r="D554">
        <v>250000</v>
      </c>
    </row>
    <row r="555" spans="1:4" x14ac:dyDescent="0.25">
      <c r="A555" t="str">
        <f>T("440799")</f>
        <v>440799</v>
      </c>
      <c r="B555" t="str">
        <f>T("Bois sciés ou dédossés longitudinalement, tranchés ou déroulés, d'une épaisseur &gt; 6 mm, même rabotés, poncés ou collés par assemblage en bout (à l'excl. des bois tropicaux visés à la note 1 de sous-position du présent chapitre ainsi que des bois de conifè")</f>
        <v>Bois sciés ou dédossés longitudinalement, tranchés ou déroulés, d'une épaisseur &gt; 6 mm, même rabotés, poncés ou collés par assemblage en bout (à l'excl. des bois tropicaux visés à la note 1 de sous-position du présent chapitre ainsi que des bois de conifè</v>
      </c>
    </row>
    <row r="556" spans="1:4" x14ac:dyDescent="0.25">
      <c r="A556" t="str">
        <f>T("   ZZZ_Monde")</f>
        <v xml:space="preserve">   ZZZ_Monde</v>
      </c>
      <c r="B556" t="str">
        <f>T("   ZZZ_Monde")</f>
        <v xml:space="preserve">   ZZZ_Monde</v>
      </c>
      <c r="C556">
        <v>735480764</v>
      </c>
      <c r="D556">
        <v>25688932</v>
      </c>
    </row>
    <row r="557" spans="1:4" x14ac:dyDescent="0.25">
      <c r="A557" t="str">
        <f>T("   CN")</f>
        <v xml:space="preserve">   CN</v>
      </c>
      <c r="B557" t="str">
        <f>T("   Chine")</f>
        <v xml:space="preserve">   Chine</v>
      </c>
      <c r="C557">
        <v>440356300</v>
      </c>
      <c r="D557">
        <v>17107000</v>
      </c>
    </row>
    <row r="558" spans="1:4" x14ac:dyDescent="0.25">
      <c r="A558" t="str">
        <f>T("   IN")</f>
        <v xml:space="preserve">   IN</v>
      </c>
      <c r="B558" t="str">
        <f>T("   Inde")</f>
        <v xml:space="preserve">   Inde</v>
      </c>
      <c r="C558">
        <v>267734692</v>
      </c>
      <c r="D558">
        <v>8010500</v>
      </c>
    </row>
    <row r="559" spans="1:4" x14ac:dyDescent="0.25">
      <c r="A559" t="str">
        <f>T("   MY")</f>
        <v xml:space="preserve">   MY</v>
      </c>
      <c r="B559" t="str">
        <f>T("   Malaisie")</f>
        <v xml:space="preserve">   Malaisie</v>
      </c>
      <c r="C559">
        <v>2500000</v>
      </c>
      <c r="D559">
        <v>180000</v>
      </c>
    </row>
    <row r="560" spans="1:4" x14ac:dyDescent="0.25">
      <c r="A560" t="str">
        <f>T("   TG")</f>
        <v xml:space="preserve">   TG</v>
      </c>
      <c r="B560" t="str">
        <f>T("   Togo")</f>
        <v xml:space="preserve">   Togo</v>
      </c>
      <c r="C560">
        <v>7500000</v>
      </c>
      <c r="D560">
        <v>300000</v>
      </c>
    </row>
    <row r="561" spans="1:4" x14ac:dyDescent="0.25">
      <c r="A561" t="str">
        <f>T("   TR")</f>
        <v xml:space="preserve">   TR</v>
      </c>
      <c r="B561" t="str">
        <f>T("   Turquie")</f>
        <v xml:space="preserve">   Turquie</v>
      </c>
      <c r="C561">
        <v>4000000</v>
      </c>
      <c r="D561">
        <v>40000</v>
      </c>
    </row>
    <row r="562" spans="1:4" x14ac:dyDescent="0.25">
      <c r="A562" t="str">
        <f>T("   US")</f>
        <v xml:space="preserve">   US</v>
      </c>
      <c r="B562" t="str">
        <f>T("   Etats-Unis")</f>
        <v xml:space="preserve">   Etats-Unis</v>
      </c>
      <c r="C562">
        <v>12389772</v>
      </c>
      <c r="D562">
        <v>1432</v>
      </c>
    </row>
    <row r="563" spans="1:4" x14ac:dyDescent="0.25">
      <c r="A563" t="str">
        <f>T("   VN")</f>
        <v xml:space="preserve">   VN</v>
      </c>
      <c r="B563" t="str">
        <f>T("   Vietnam")</f>
        <v xml:space="preserve">   Vietnam</v>
      </c>
      <c r="C563">
        <v>1000000</v>
      </c>
      <c r="D563">
        <v>50000</v>
      </c>
    </row>
    <row r="564" spans="1:4" x14ac:dyDescent="0.25">
      <c r="A564" t="str">
        <f>T("440839")</f>
        <v>440839</v>
      </c>
      <c r="B564" t="str">
        <f>T("FEUILLES POUR PLACAGE - Y.C. CELLES OBTENUES PAR TRANCHAGE DE BOIS STRATIFIÉ -,  FEUILLES POUR CONTRE-PLAQUÉS OU POUR AUTRES BOIS STRATIFIÉS SIMIL. ET AUTRES BOIS SCIÉS LONGITUDINALEMENT, TRANCHÉS OU DÉROULÉS, MÊME RABOTÉS, PONCÉS, ASSEMBLÉS BORD À BORD O")</f>
        <v>FEUILLES POUR PLACAGE - Y.C. CELLES OBTENUES PAR TRANCHAGE DE BOIS STRATIFIÉ -,  FEUILLES POUR CONTRE-PLAQUÉS OU POUR AUTRES BOIS STRATIFIÉS SIMIL. ET AUTRES BOIS SCIÉS LONGITUDINALEMENT, TRANCHÉS OU DÉROULÉS, MÊME RABOTÉS, PONCÉS, ASSEMBLÉS BORD À BORD O</v>
      </c>
    </row>
    <row r="565" spans="1:4" x14ac:dyDescent="0.25">
      <c r="A565" t="str">
        <f>T("   ZZZ_Monde")</f>
        <v xml:space="preserve">   ZZZ_Monde</v>
      </c>
      <c r="B565" t="str">
        <f>T("   ZZZ_Monde")</f>
        <v xml:space="preserve">   ZZZ_Monde</v>
      </c>
      <c r="C565">
        <v>254637289</v>
      </c>
      <c r="D565">
        <v>1008000</v>
      </c>
    </row>
    <row r="566" spans="1:4" x14ac:dyDescent="0.25">
      <c r="A566" t="str">
        <f>T("   IN")</f>
        <v xml:space="preserve">   IN</v>
      </c>
      <c r="B566" t="str">
        <f>T("   Inde")</f>
        <v xml:space="preserve">   Inde</v>
      </c>
      <c r="C566">
        <v>254637289</v>
      </c>
      <c r="D566">
        <v>1008000</v>
      </c>
    </row>
    <row r="567" spans="1:4" x14ac:dyDescent="0.25">
      <c r="A567" t="str">
        <f>T("440920")</f>
        <v>440920</v>
      </c>
      <c r="B567" t="s">
        <v>13</v>
      </c>
    </row>
    <row r="568" spans="1:4" x14ac:dyDescent="0.25">
      <c r="A568" t="str">
        <f>T("   ZZZ_Monde")</f>
        <v xml:space="preserve">   ZZZ_Monde</v>
      </c>
      <c r="B568" t="str">
        <f>T("   ZZZ_Monde")</f>
        <v xml:space="preserve">   ZZZ_Monde</v>
      </c>
      <c r="C568">
        <v>47316647</v>
      </c>
      <c r="D568">
        <v>403113</v>
      </c>
    </row>
    <row r="569" spans="1:4" x14ac:dyDescent="0.25">
      <c r="A569" t="str">
        <f>T("   CN")</f>
        <v xml:space="preserve">   CN</v>
      </c>
      <c r="B569" t="str">
        <f>T("   Chine")</f>
        <v xml:space="preserve">   Chine</v>
      </c>
      <c r="C569">
        <v>25440233</v>
      </c>
      <c r="D569">
        <v>333113</v>
      </c>
    </row>
    <row r="570" spans="1:4" x14ac:dyDescent="0.25">
      <c r="A570" t="str">
        <f>T("   ID")</f>
        <v xml:space="preserve">   ID</v>
      </c>
      <c r="B570" t="str">
        <f>T("   Indonésie")</f>
        <v xml:space="preserve">   Indonésie</v>
      </c>
      <c r="C570">
        <v>12692974</v>
      </c>
      <c r="D570">
        <v>50000</v>
      </c>
    </row>
    <row r="571" spans="1:4" x14ac:dyDescent="0.25">
      <c r="A571" t="str">
        <f>T("   IT")</f>
        <v xml:space="preserve">   IT</v>
      </c>
      <c r="B571" t="str">
        <f>T("   Italie")</f>
        <v xml:space="preserve">   Italie</v>
      </c>
      <c r="C571">
        <v>9183440</v>
      </c>
      <c r="D571">
        <v>20000</v>
      </c>
    </row>
    <row r="572" spans="1:4" x14ac:dyDescent="0.25">
      <c r="A572" t="str">
        <f>T("441021")</f>
        <v>441021</v>
      </c>
      <c r="B572" t="str">
        <f>T("Panneaux dits 'oriented strand board' et panneaux dits 'waferboard', en bois, bruts ou simplement poncés")</f>
        <v>Panneaux dits 'oriented strand board' et panneaux dits 'waferboard', en bois, bruts ou simplement poncés</v>
      </c>
    </row>
    <row r="573" spans="1:4" x14ac:dyDescent="0.25">
      <c r="A573" t="str">
        <f>T("   ZZZ_Monde")</f>
        <v xml:space="preserve">   ZZZ_Monde</v>
      </c>
      <c r="B573" t="str">
        <f>T("   ZZZ_Monde")</f>
        <v xml:space="preserve">   ZZZ_Monde</v>
      </c>
      <c r="C573">
        <v>95048190</v>
      </c>
      <c r="D573">
        <v>700000</v>
      </c>
    </row>
    <row r="574" spans="1:4" x14ac:dyDescent="0.25">
      <c r="A574" t="str">
        <f>T("   IN")</f>
        <v xml:space="preserve">   IN</v>
      </c>
      <c r="B574" t="str">
        <f>T("   Inde")</f>
        <v xml:space="preserve">   Inde</v>
      </c>
      <c r="C574">
        <v>95048190</v>
      </c>
      <c r="D574">
        <v>700000</v>
      </c>
    </row>
    <row r="575" spans="1:4" x14ac:dyDescent="0.25">
      <c r="A575" t="str">
        <f>T("442190")</f>
        <v>442190</v>
      </c>
      <c r="B575" t="str">
        <f>T("Ouvrages, en bois, n.d.a.")</f>
        <v>Ouvrages, en bois, n.d.a.</v>
      </c>
    </row>
    <row r="576" spans="1:4" x14ac:dyDescent="0.25">
      <c r="A576" t="str">
        <f>T("   ZZZ_Monde")</f>
        <v xml:space="preserve">   ZZZ_Monde</v>
      </c>
      <c r="B576" t="str">
        <f>T("   ZZZ_Monde")</f>
        <v xml:space="preserve">   ZZZ_Monde</v>
      </c>
      <c r="C576">
        <v>11662586</v>
      </c>
      <c r="D576">
        <v>620</v>
      </c>
    </row>
    <row r="577" spans="1:4" x14ac:dyDescent="0.25">
      <c r="A577" t="str">
        <f>T("   NG")</f>
        <v xml:space="preserve">   NG</v>
      </c>
      <c r="B577" t="str">
        <f>T("   Nigéria")</f>
        <v xml:space="preserve">   Nigéria</v>
      </c>
      <c r="C577">
        <v>11662586</v>
      </c>
      <c r="D577">
        <v>620</v>
      </c>
    </row>
    <row r="578" spans="1:4" x14ac:dyDescent="0.25">
      <c r="A578" t="str">
        <f>T("481910")</f>
        <v>481910</v>
      </c>
      <c r="B578" t="str">
        <f>T("Boîtes et caisses en papier ou en carton ondulé")</f>
        <v>Boîtes et caisses en papier ou en carton ondulé</v>
      </c>
    </row>
    <row r="579" spans="1:4" x14ac:dyDescent="0.25">
      <c r="A579" t="str">
        <f>T("   ZZZ_Monde")</f>
        <v xml:space="preserve">   ZZZ_Monde</v>
      </c>
      <c r="B579" t="str">
        <f>T("   ZZZ_Monde")</f>
        <v xml:space="preserve">   ZZZ_Monde</v>
      </c>
      <c r="C579">
        <v>2729956</v>
      </c>
      <c r="D579">
        <v>1863</v>
      </c>
    </row>
    <row r="580" spans="1:4" x14ac:dyDescent="0.25">
      <c r="A580" t="str">
        <f>T("   BF")</f>
        <v xml:space="preserve">   BF</v>
      </c>
      <c r="B580" t="str">
        <f>T("   Burkina Faso")</f>
        <v xml:space="preserve">   Burkina Faso</v>
      </c>
      <c r="C580">
        <v>340328</v>
      </c>
      <c r="D580">
        <v>200</v>
      </c>
    </row>
    <row r="581" spans="1:4" x14ac:dyDescent="0.25">
      <c r="A581" t="str">
        <f>T("   ML")</f>
        <v xml:space="preserve">   ML</v>
      </c>
      <c r="B581" t="str">
        <f>T("   Mali")</f>
        <v xml:space="preserve">   Mali</v>
      </c>
      <c r="C581">
        <v>1361313</v>
      </c>
      <c r="D581">
        <v>800</v>
      </c>
    </row>
    <row r="582" spans="1:4" x14ac:dyDescent="0.25">
      <c r="A582" t="str">
        <f>T("   TG")</f>
        <v xml:space="preserve">   TG</v>
      </c>
      <c r="B582" t="str">
        <f>T("   Togo")</f>
        <v xml:space="preserve">   Togo</v>
      </c>
      <c r="C582">
        <v>1028315</v>
      </c>
      <c r="D582">
        <v>863</v>
      </c>
    </row>
    <row r="583" spans="1:4" x14ac:dyDescent="0.25">
      <c r="A583" t="str">
        <f>T("482020")</f>
        <v>482020</v>
      </c>
      <c r="B583" t="str">
        <f>T("Cahiers pour l'écriture, en papier ou carton")</f>
        <v>Cahiers pour l'écriture, en papier ou carton</v>
      </c>
    </row>
    <row r="584" spans="1:4" x14ac:dyDescent="0.25">
      <c r="A584" t="str">
        <f>T("   ZZZ_Monde")</f>
        <v xml:space="preserve">   ZZZ_Monde</v>
      </c>
      <c r="B584" t="str">
        <f>T("   ZZZ_Monde")</f>
        <v xml:space="preserve">   ZZZ_Monde</v>
      </c>
      <c r="C584">
        <v>9675000</v>
      </c>
      <c r="D584">
        <v>30413</v>
      </c>
    </row>
    <row r="585" spans="1:4" x14ac:dyDescent="0.25">
      <c r="A585" t="str">
        <f>T("   NE")</f>
        <v xml:space="preserve">   NE</v>
      </c>
      <c r="B585" t="str">
        <f>T("   Niger")</f>
        <v xml:space="preserve">   Niger</v>
      </c>
      <c r="C585">
        <v>750000</v>
      </c>
      <c r="D585">
        <v>2000</v>
      </c>
    </row>
    <row r="586" spans="1:4" x14ac:dyDescent="0.25">
      <c r="A586" t="str">
        <f>T("   TG")</f>
        <v xml:space="preserve">   TG</v>
      </c>
      <c r="B586" t="str">
        <f>T("   Togo")</f>
        <v xml:space="preserve">   Togo</v>
      </c>
      <c r="C586">
        <v>8925000</v>
      </c>
      <c r="D586">
        <v>28413</v>
      </c>
    </row>
    <row r="587" spans="1:4" x14ac:dyDescent="0.25">
      <c r="A587" t="str">
        <f>T("482390")</f>
        <v>482390</v>
      </c>
      <c r="B587" t="str">
        <f>T("PAPIERS, CARTONS, OUATE DE CELLULOSE ET NAPPES DE FIBRES DE CELLULOSE, EN BANDES OU EN ROULEAUX D'UNE LARGEUR &lt;= 36 CM OU EN FEUILLES DE FORME CARRÉE OU RECTANGULAIRE DONT AUCUN CÔTÉ &gt; 36 CM À L'ÉTAT NON-PLIÉ, OU DÉCOUPÉS DE FORME AUTRE QUE CARRÉE OU RECT")</f>
        <v>PAPIERS, CARTONS, OUATE DE CELLULOSE ET NAPPES DE FIBRES DE CELLULOSE, EN BANDES OU EN ROULEAUX D'UNE LARGEUR &lt;= 36 CM OU EN FEUILLES DE FORME CARRÉE OU RECTANGULAIRE DONT AUCUN CÔTÉ &gt; 36 CM À L'ÉTAT NON-PLIÉ, OU DÉCOUPÉS DE FORME AUTRE QUE CARRÉE OU RECT</v>
      </c>
    </row>
    <row r="588" spans="1:4" x14ac:dyDescent="0.25">
      <c r="A588" t="str">
        <f>T("   ZZZ_Monde")</f>
        <v xml:space="preserve">   ZZZ_Monde</v>
      </c>
      <c r="B588" t="str">
        <f>T("   ZZZ_Monde")</f>
        <v xml:space="preserve">   ZZZ_Monde</v>
      </c>
      <c r="C588">
        <v>3000000</v>
      </c>
      <c r="D588">
        <v>30000</v>
      </c>
    </row>
    <row r="589" spans="1:4" x14ac:dyDescent="0.25">
      <c r="A589" t="str">
        <f>T("   CN")</f>
        <v xml:space="preserve">   CN</v>
      </c>
      <c r="B589" t="str">
        <f>T("   Chine")</f>
        <v xml:space="preserve">   Chine</v>
      </c>
      <c r="C589">
        <v>3000000</v>
      </c>
      <c r="D589">
        <v>30000</v>
      </c>
    </row>
    <row r="590" spans="1:4" x14ac:dyDescent="0.25">
      <c r="A590" t="str">
        <f>T("490110")</f>
        <v>490110</v>
      </c>
      <c r="B590" t="str">
        <f>T("Livres, brochures et imprimés simil., en feuillets isolés, même pliés (à l'excl. des publications périodiques et des publications à usages principalement publicitaires)")</f>
        <v>Livres, brochures et imprimés simil., en feuillets isolés, même pliés (à l'excl. des publications périodiques et des publications à usages principalement publicitaires)</v>
      </c>
    </row>
    <row r="591" spans="1:4" x14ac:dyDescent="0.25">
      <c r="A591" t="str">
        <f>T("   ZZZ_Monde")</f>
        <v xml:space="preserve">   ZZZ_Monde</v>
      </c>
      <c r="B591" t="str">
        <f>T("   ZZZ_Monde")</f>
        <v xml:space="preserve">   ZZZ_Monde</v>
      </c>
      <c r="C591">
        <v>4000000</v>
      </c>
      <c r="D591">
        <v>40000</v>
      </c>
    </row>
    <row r="592" spans="1:4" x14ac:dyDescent="0.25">
      <c r="A592" t="str">
        <f>T("   CN")</f>
        <v xml:space="preserve">   CN</v>
      </c>
      <c r="B592" t="str">
        <f>T("   Chine")</f>
        <v xml:space="preserve">   Chine</v>
      </c>
      <c r="C592">
        <v>4000000</v>
      </c>
      <c r="D592">
        <v>40000</v>
      </c>
    </row>
    <row r="593" spans="1:4" x14ac:dyDescent="0.25">
      <c r="A593" t="str">
        <f>T("490199")</f>
        <v>490199</v>
      </c>
      <c r="B593" t="str">
        <f>T("Livres, brochures et imprimés simil. (à l'excl. des produits en feuillets isolés, des dictionnaires et encyclopédies, même en fascicules, des publications périodiques ainsi que des publications à usages principalement publicitaires)")</f>
        <v>Livres, brochures et imprimés simil. (à l'excl. des produits en feuillets isolés, des dictionnaires et encyclopédies, même en fascicules, des publications périodiques ainsi que des publications à usages principalement publicitaires)</v>
      </c>
    </row>
    <row r="594" spans="1:4" x14ac:dyDescent="0.25">
      <c r="A594" t="str">
        <f>T("   ZZZ_Monde")</f>
        <v xml:space="preserve">   ZZZ_Monde</v>
      </c>
      <c r="B594" t="str">
        <f>T("   ZZZ_Monde")</f>
        <v xml:space="preserve">   ZZZ_Monde</v>
      </c>
      <c r="C594">
        <v>33941603</v>
      </c>
      <c r="D594">
        <v>5155</v>
      </c>
    </row>
    <row r="595" spans="1:4" x14ac:dyDescent="0.25">
      <c r="A595" t="str">
        <f>T("   CM")</f>
        <v xml:space="preserve">   CM</v>
      </c>
      <c r="B595" t="str">
        <f>T("   Cameroun")</f>
        <v xml:space="preserve">   Cameroun</v>
      </c>
      <c r="C595">
        <v>12800403</v>
      </c>
      <c r="D595">
        <v>1005</v>
      </c>
    </row>
    <row r="596" spans="1:4" x14ac:dyDescent="0.25">
      <c r="A596" t="str">
        <f>T("   FR")</f>
        <v xml:space="preserve">   FR</v>
      </c>
      <c r="B596" t="str">
        <f>T("   France")</f>
        <v xml:space="preserve">   France</v>
      </c>
      <c r="C596">
        <v>200000</v>
      </c>
      <c r="D596">
        <v>50</v>
      </c>
    </row>
    <row r="597" spans="1:4" x14ac:dyDescent="0.25">
      <c r="A597" t="str">
        <f>T("   NE")</f>
        <v xml:space="preserve">   NE</v>
      </c>
      <c r="B597" t="str">
        <f>T("   Niger")</f>
        <v xml:space="preserve">   Niger</v>
      </c>
      <c r="C597">
        <v>19841200</v>
      </c>
      <c r="D597">
        <v>3000</v>
      </c>
    </row>
    <row r="598" spans="1:4" x14ac:dyDescent="0.25">
      <c r="A598" t="str">
        <f>T("   NL")</f>
        <v xml:space="preserve">   NL</v>
      </c>
      <c r="B598" t="str">
        <f>T("   Pays-bas")</f>
        <v xml:space="preserve">   Pays-bas</v>
      </c>
      <c r="C598">
        <v>400000</v>
      </c>
      <c r="D598">
        <v>200</v>
      </c>
    </row>
    <row r="599" spans="1:4" x14ac:dyDescent="0.25">
      <c r="A599" t="str">
        <f>T("   UG")</f>
        <v xml:space="preserve">   UG</v>
      </c>
      <c r="B599" t="str">
        <f>T("   Ouganda")</f>
        <v xml:space="preserve">   Ouganda</v>
      </c>
      <c r="C599">
        <v>500000</v>
      </c>
      <c r="D599">
        <v>500</v>
      </c>
    </row>
    <row r="600" spans="1:4" x14ac:dyDescent="0.25">
      <c r="A600" t="str">
        <f>T("   US")</f>
        <v xml:space="preserve">   US</v>
      </c>
      <c r="B600" t="str">
        <f>T("   Etats-Unis")</f>
        <v xml:space="preserve">   Etats-Unis</v>
      </c>
      <c r="C600">
        <v>200000</v>
      </c>
      <c r="D600">
        <v>400</v>
      </c>
    </row>
    <row r="601" spans="1:4" x14ac:dyDescent="0.25">
      <c r="A601" t="str">
        <f>T("490700")</f>
        <v>490700</v>
      </c>
      <c r="B601" t="str">
        <f>T("TIMBRES-POSTE, TIMBRES FISCAUX ET ANALOGUES, NON-OBLITÉRÉS, AYANT COURS OU DESTINÉS À AVOIR COURS DANS LE PAYS DANS LEQUEL ILS ONT,  OU AURONT, UNE VALEUR FACIALE RECONNUE; PAPIER TIMBRÉ; BILLETS DE BANQUE; CHÈQUES; TITRES D'ACTIONS OU D'OBLIGATIONS ET TI")</f>
        <v>TIMBRES-POSTE, TIMBRES FISCAUX ET ANALOGUES, NON-OBLITÉRÉS, AYANT COURS OU DESTINÉS À AVOIR COURS DANS LE PAYS DANS LEQUEL ILS ONT,  OU AURONT, UNE VALEUR FACIALE RECONNUE; PAPIER TIMBRÉ; BILLETS DE BANQUE; CHÈQUES; TITRES D'ACTIONS OU D'OBLIGATIONS ET TI</v>
      </c>
    </row>
    <row r="602" spans="1:4" x14ac:dyDescent="0.25">
      <c r="A602" t="str">
        <f>T("   ZZZ_Monde")</f>
        <v xml:space="preserve">   ZZZ_Monde</v>
      </c>
      <c r="B602" t="str">
        <f>T("   ZZZ_Monde")</f>
        <v xml:space="preserve">   ZZZ_Monde</v>
      </c>
      <c r="C602">
        <v>123700000</v>
      </c>
      <c r="D602">
        <v>59917</v>
      </c>
    </row>
    <row r="603" spans="1:4" x14ac:dyDescent="0.25">
      <c r="A603" t="str">
        <f>T("   BF")</f>
        <v xml:space="preserve">   BF</v>
      </c>
      <c r="B603" t="str">
        <f>T("   Burkina Faso")</f>
        <v xml:space="preserve">   Burkina Faso</v>
      </c>
      <c r="C603">
        <v>6600000</v>
      </c>
      <c r="D603">
        <v>3309</v>
      </c>
    </row>
    <row r="604" spans="1:4" x14ac:dyDescent="0.25">
      <c r="A604" t="str">
        <f>T("   CI")</f>
        <v xml:space="preserve">   CI</v>
      </c>
      <c r="B604" t="str">
        <f>T("   Côte d'Ivoire")</f>
        <v xml:space="preserve">   Côte d'Ivoire</v>
      </c>
      <c r="C604">
        <v>33400000</v>
      </c>
      <c r="D604">
        <v>16136</v>
      </c>
    </row>
    <row r="605" spans="1:4" x14ac:dyDescent="0.25">
      <c r="A605" t="str">
        <f>T("   FR")</f>
        <v xml:space="preserve">   FR</v>
      </c>
      <c r="B605" t="str">
        <f>T("   France")</f>
        <v xml:space="preserve">   France</v>
      </c>
      <c r="C605">
        <v>52700000</v>
      </c>
      <c r="D605">
        <v>25610</v>
      </c>
    </row>
    <row r="606" spans="1:4" x14ac:dyDescent="0.25">
      <c r="A606" t="str">
        <f>T("   GH")</f>
        <v xml:space="preserve">   GH</v>
      </c>
      <c r="B606" t="str">
        <f>T("   Ghana")</f>
        <v xml:space="preserve">   Ghana</v>
      </c>
      <c r="C606">
        <v>4000000</v>
      </c>
      <c r="D606">
        <v>1700</v>
      </c>
    </row>
    <row r="607" spans="1:4" x14ac:dyDescent="0.25">
      <c r="A607" t="str">
        <f>T("   ML")</f>
        <v xml:space="preserve">   ML</v>
      </c>
      <c r="B607" t="str">
        <f>T("   Mali")</f>
        <v xml:space="preserve">   Mali</v>
      </c>
      <c r="C607">
        <v>7400000</v>
      </c>
      <c r="D607">
        <v>3406</v>
      </c>
    </row>
    <row r="608" spans="1:4" x14ac:dyDescent="0.25">
      <c r="A608" t="str">
        <f>T("   NG")</f>
        <v xml:space="preserve">   NG</v>
      </c>
      <c r="B608" t="str">
        <f>T("   Nigéria")</f>
        <v xml:space="preserve">   Nigéria</v>
      </c>
      <c r="C608">
        <v>5700000</v>
      </c>
      <c r="D608">
        <v>2700</v>
      </c>
    </row>
    <row r="609" spans="1:4" x14ac:dyDescent="0.25">
      <c r="A609" t="str">
        <f>T("   TG")</f>
        <v xml:space="preserve">   TG</v>
      </c>
      <c r="B609" t="str">
        <f>T("   Togo")</f>
        <v xml:space="preserve">   Togo</v>
      </c>
      <c r="C609">
        <v>13900000</v>
      </c>
      <c r="D609">
        <v>7056</v>
      </c>
    </row>
    <row r="610" spans="1:4" x14ac:dyDescent="0.25">
      <c r="A610" t="str">
        <f>T("520100")</f>
        <v>520100</v>
      </c>
      <c r="B610" t="str">
        <f>T("COTON, NON-CARDÉ NI PEIGNÉ")</f>
        <v>COTON, NON-CARDÉ NI PEIGNÉ</v>
      </c>
    </row>
    <row r="611" spans="1:4" x14ac:dyDescent="0.25">
      <c r="A611" t="str">
        <f>T("   ZZZ_Monde")</f>
        <v xml:space="preserve">   ZZZ_Monde</v>
      </c>
      <c r="B611" t="str">
        <f>T("   ZZZ_Monde")</f>
        <v xml:space="preserve">   ZZZ_Monde</v>
      </c>
      <c r="C611">
        <v>45094962487</v>
      </c>
      <c r="D611">
        <v>58893011</v>
      </c>
    </row>
    <row r="612" spans="1:4" x14ac:dyDescent="0.25">
      <c r="A612" t="str">
        <f>T("   BD")</f>
        <v xml:space="preserve">   BD</v>
      </c>
      <c r="B612" t="str">
        <f>T("   Bangladesh")</f>
        <v xml:space="preserve">   Bangladesh</v>
      </c>
      <c r="C612">
        <v>74863947</v>
      </c>
      <c r="D612">
        <v>97227</v>
      </c>
    </row>
    <row r="613" spans="1:4" x14ac:dyDescent="0.25">
      <c r="A613" t="str">
        <f>T("   CN")</f>
        <v xml:space="preserve">   CN</v>
      </c>
      <c r="B613" t="str">
        <f>T("   Chine")</f>
        <v xml:space="preserve">   Chine</v>
      </c>
      <c r="C613">
        <v>19921715691</v>
      </c>
      <c r="D613">
        <v>26056351</v>
      </c>
    </row>
    <row r="614" spans="1:4" x14ac:dyDescent="0.25">
      <c r="A614" t="str">
        <f>T("   DE")</f>
        <v xml:space="preserve">   DE</v>
      </c>
      <c r="B614" t="str">
        <f>T("   Allemagne")</f>
        <v xml:space="preserve">   Allemagne</v>
      </c>
      <c r="C614">
        <v>929290464</v>
      </c>
      <c r="D614">
        <v>1245460</v>
      </c>
    </row>
    <row r="615" spans="1:4" x14ac:dyDescent="0.25">
      <c r="A615" t="str">
        <f>T("   EG")</f>
        <v xml:space="preserve">   EG</v>
      </c>
      <c r="B615" t="str">
        <f>T("   Egypte")</f>
        <v xml:space="preserve">   Egypte</v>
      </c>
      <c r="C615">
        <v>755198004</v>
      </c>
      <c r="D615">
        <v>980770</v>
      </c>
    </row>
    <row r="616" spans="1:4" x14ac:dyDescent="0.25">
      <c r="A616" t="str">
        <f>T("   FR")</f>
        <v xml:space="preserve">   FR</v>
      </c>
      <c r="B616" t="str">
        <f>T("   France")</f>
        <v xml:space="preserve">   France</v>
      </c>
      <c r="C616">
        <v>197235515</v>
      </c>
      <c r="D616">
        <v>229489</v>
      </c>
    </row>
    <row r="617" spans="1:4" x14ac:dyDescent="0.25">
      <c r="A617" t="str">
        <f>T("   GR")</f>
        <v xml:space="preserve">   GR</v>
      </c>
      <c r="B617" t="str">
        <f>T("   Grèce")</f>
        <v xml:space="preserve">   Grèce</v>
      </c>
      <c r="C617">
        <v>368773222</v>
      </c>
      <c r="D617">
        <v>210962</v>
      </c>
    </row>
    <row r="618" spans="1:4" x14ac:dyDescent="0.25">
      <c r="A618" t="str">
        <f>T("   ID")</f>
        <v xml:space="preserve">   ID</v>
      </c>
      <c r="B618" t="str">
        <f>T("   Indonésie")</f>
        <v xml:space="preserve">   Indonésie</v>
      </c>
      <c r="C618">
        <v>10850972872</v>
      </c>
      <c r="D618">
        <v>14107236</v>
      </c>
    </row>
    <row r="619" spans="1:4" x14ac:dyDescent="0.25">
      <c r="A619" t="str">
        <f>T("   IT")</f>
        <v xml:space="preserve">   IT</v>
      </c>
      <c r="B619" t="str">
        <f>T("   Italie")</f>
        <v xml:space="preserve">   Italie</v>
      </c>
      <c r="C619">
        <v>373824709</v>
      </c>
      <c r="D619">
        <v>511254</v>
      </c>
    </row>
    <row r="620" spans="1:4" x14ac:dyDescent="0.25">
      <c r="A620" t="str">
        <f>T("   MU")</f>
        <v xml:space="preserve">   MU</v>
      </c>
      <c r="B620" t="str">
        <f>T("   Maurice, île")</f>
        <v xml:space="preserve">   Maurice, île</v>
      </c>
      <c r="C620">
        <v>515190316</v>
      </c>
      <c r="D620">
        <v>680421</v>
      </c>
    </row>
    <row r="621" spans="1:4" x14ac:dyDescent="0.25">
      <c r="A621" t="str">
        <f>T("   MY")</f>
        <v xml:space="preserve">   MY</v>
      </c>
      <c r="B621" t="str">
        <f>T("   Malaisie")</f>
        <v xml:space="preserve">   Malaisie</v>
      </c>
      <c r="C621">
        <v>5191333437</v>
      </c>
      <c r="D621">
        <v>6756245</v>
      </c>
    </row>
    <row r="622" spans="1:4" x14ac:dyDescent="0.25">
      <c r="A622" t="str">
        <f>T("   NL")</f>
        <v xml:space="preserve">   NL</v>
      </c>
      <c r="B622" t="str">
        <f>T("   Pays-bas")</f>
        <v xml:space="preserve">   Pays-bas</v>
      </c>
      <c r="C622">
        <v>3131350</v>
      </c>
      <c r="D622">
        <v>388100</v>
      </c>
    </row>
    <row r="623" spans="1:4" x14ac:dyDescent="0.25">
      <c r="A623" t="str">
        <f>T("   PK")</f>
        <v xml:space="preserve">   PK</v>
      </c>
      <c r="B623" t="str">
        <f>T("   Pakistan")</f>
        <v xml:space="preserve">   Pakistan</v>
      </c>
      <c r="C623">
        <v>937212572</v>
      </c>
      <c r="D623">
        <v>1213367</v>
      </c>
    </row>
    <row r="624" spans="1:4" x14ac:dyDescent="0.25">
      <c r="A624" t="str">
        <f>T("   PT")</f>
        <v xml:space="preserve">   PT</v>
      </c>
      <c r="B624" t="str">
        <f>T("   Portugal")</f>
        <v xml:space="preserve">   Portugal</v>
      </c>
      <c r="C624">
        <v>1216577145</v>
      </c>
      <c r="D624">
        <v>1596371</v>
      </c>
    </row>
    <row r="625" spans="1:4" x14ac:dyDescent="0.25">
      <c r="A625" t="str">
        <f>T("   TH")</f>
        <v xml:space="preserve">   TH</v>
      </c>
      <c r="B625" t="str">
        <f>T("   Thaïlande")</f>
        <v xml:space="preserve">   Thaïlande</v>
      </c>
      <c r="C625">
        <v>2718033824</v>
      </c>
      <c r="D625">
        <v>3457801</v>
      </c>
    </row>
    <row r="626" spans="1:4" x14ac:dyDescent="0.25">
      <c r="A626" t="str">
        <f>T("   TR")</f>
        <v xml:space="preserve">   TR</v>
      </c>
      <c r="B626" t="str">
        <f>T("   Turquie")</f>
        <v xml:space="preserve">   Turquie</v>
      </c>
      <c r="C626">
        <v>188111978</v>
      </c>
      <c r="D626">
        <v>242724</v>
      </c>
    </row>
    <row r="627" spans="1:4" x14ac:dyDescent="0.25">
      <c r="A627" t="str">
        <f>T("   VN")</f>
        <v xml:space="preserve">   VN</v>
      </c>
      <c r="B627" t="str">
        <f>T("   Vietnam")</f>
        <v xml:space="preserve">   Vietnam</v>
      </c>
      <c r="C627">
        <v>853497441</v>
      </c>
      <c r="D627">
        <v>1119233</v>
      </c>
    </row>
    <row r="628" spans="1:4" x14ac:dyDescent="0.25">
      <c r="A628" t="str">
        <f>T("520210")</f>
        <v>520210</v>
      </c>
      <c r="B628" t="str">
        <f>T("Déchets de fils de coton")</f>
        <v>Déchets de fils de coton</v>
      </c>
    </row>
    <row r="629" spans="1:4" x14ac:dyDescent="0.25">
      <c r="A629" t="str">
        <f>T("   ZZZ_Monde")</f>
        <v xml:space="preserve">   ZZZ_Monde</v>
      </c>
      <c r="B629" t="str">
        <f>T("   ZZZ_Monde")</f>
        <v xml:space="preserve">   ZZZ_Monde</v>
      </c>
      <c r="C629">
        <v>26715915</v>
      </c>
      <c r="D629">
        <v>60877</v>
      </c>
    </row>
    <row r="630" spans="1:4" x14ac:dyDescent="0.25">
      <c r="A630" t="str">
        <f>T("   PK")</f>
        <v xml:space="preserve">   PK</v>
      </c>
      <c r="B630" t="str">
        <f>T("   Pakistan")</f>
        <v xml:space="preserve">   Pakistan</v>
      </c>
      <c r="C630">
        <v>26715915</v>
      </c>
      <c r="D630">
        <v>60877</v>
      </c>
    </row>
    <row r="631" spans="1:4" x14ac:dyDescent="0.25">
      <c r="A631" t="str">
        <f>T("520291")</f>
        <v>520291</v>
      </c>
      <c r="B631" t="str">
        <f>T("Effilochés de coton")</f>
        <v>Effilochés de coton</v>
      </c>
    </row>
    <row r="632" spans="1:4" x14ac:dyDescent="0.25">
      <c r="A632" t="str">
        <f>T("   ZZZ_Monde")</f>
        <v xml:space="preserve">   ZZZ_Monde</v>
      </c>
      <c r="B632" t="str">
        <f>T("   ZZZ_Monde")</f>
        <v xml:space="preserve">   ZZZ_Monde</v>
      </c>
      <c r="C632">
        <v>3347134</v>
      </c>
      <c r="D632">
        <v>8365</v>
      </c>
    </row>
    <row r="633" spans="1:4" x14ac:dyDescent="0.25">
      <c r="A633" t="str">
        <f>T("   PT")</f>
        <v xml:space="preserve">   PT</v>
      </c>
      <c r="B633" t="str">
        <f>T("   Portugal")</f>
        <v xml:space="preserve">   Portugal</v>
      </c>
      <c r="C633">
        <v>3347134</v>
      </c>
      <c r="D633">
        <v>8365</v>
      </c>
    </row>
    <row r="634" spans="1:4" x14ac:dyDescent="0.25">
      <c r="A634" t="str">
        <f>T("520299")</f>
        <v>520299</v>
      </c>
      <c r="B634" t="str">
        <f>T("Déchets de coton (à l'excl. des déchets de fils et des effilochés)")</f>
        <v>Déchets de coton (à l'excl. des déchets de fils et des effilochés)</v>
      </c>
    </row>
    <row r="635" spans="1:4" x14ac:dyDescent="0.25">
      <c r="A635" t="str">
        <f>T("   ZZZ_Monde")</f>
        <v xml:space="preserve">   ZZZ_Monde</v>
      </c>
      <c r="B635" t="str">
        <f>T("   ZZZ_Monde")</f>
        <v xml:space="preserve">   ZZZ_Monde</v>
      </c>
      <c r="C635">
        <v>282828735</v>
      </c>
      <c r="D635">
        <v>1143522</v>
      </c>
    </row>
    <row r="636" spans="1:4" x14ac:dyDescent="0.25">
      <c r="A636" t="str">
        <f>T("   CN")</f>
        <v xml:space="preserve">   CN</v>
      </c>
      <c r="B636" t="str">
        <f>T("   Chine")</f>
        <v xml:space="preserve">   Chine</v>
      </c>
      <c r="C636">
        <v>140385383</v>
      </c>
      <c r="D636">
        <v>360678</v>
      </c>
    </row>
    <row r="637" spans="1:4" x14ac:dyDescent="0.25">
      <c r="A637" t="str">
        <f>T("   ES")</f>
        <v xml:space="preserve">   ES</v>
      </c>
      <c r="B637" t="str">
        <f>T("   Espagne")</f>
        <v xml:space="preserve">   Espagne</v>
      </c>
      <c r="C637">
        <v>79432173</v>
      </c>
      <c r="D637">
        <v>248066</v>
      </c>
    </row>
    <row r="638" spans="1:4" x14ac:dyDescent="0.25">
      <c r="A638" t="str">
        <f>T("   GB")</f>
        <v xml:space="preserve">   GB</v>
      </c>
      <c r="B638" t="str">
        <f>T("   Royaume-Uni")</f>
        <v xml:space="preserve">   Royaume-Uni</v>
      </c>
      <c r="C638">
        <v>1875000</v>
      </c>
      <c r="D638">
        <v>15000</v>
      </c>
    </row>
    <row r="639" spans="1:4" x14ac:dyDescent="0.25">
      <c r="A639" t="str">
        <f>T("   IN")</f>
        <v xml:space="preserve">   IN</v>
      </c>
      <c r="B639" t="str">
        <f>T("   Inde")</f>
        <v xml:space="preserve">   Inde</v>
      </c>
      <c r="C639">
        <v>2500000</v>
      </c>
      <c r="D639">
        <v>20000</v>
      </c>
    </row>
    <row r="640" spans="1:4" x14ac:dyDescent="0.25">
      <c r="A640" t="str">
        <f>T("   NL")</f>
        <v xml:space="preserve">   NL</v>
      </c>
      <c r="B640" t="str">
        <f>T("   Pays-bas")</f>
        <v xml:space="preserve">   Pays-bas</v>
      </c>
      <c r="C640">
        <v>2203550</v>
      </c>
      <c r="D640">
        <v>272960</v>
      </c>
    </row>
    <row r="641" spans="1:4" x14ac:dyDescent="0.25">
      <c r="A641" t="str">
        <f>T("   TG")</f>
        <v xml:space="preserve">   TG</v>
      </c>
      <c r="B641" t="str">
        <f>T("   Togo")</f>
        <v xml:space="preserve">   Togo</v>
      </c>
      <c r="C641">
        <v>17072595</v>
      </c>
      <c r="D641">
        <v>128419</v>
      </c>
    </row>
    <row r="642" spans="1:4" x14ac:dyDescent="0.25">
      <c r="A642" t="str">
        <f>T("   VN")</f>
        <v xml:space="preserve">   VN</v>
      </c>
      <c r="B642" t="str">
        <f>T("   Vietnam")</f>
        <v xml:space="preserve">   Vietnam</v>
      </c>
      <c r="C642">
        <v>39360034</v>
      </c>
      <c r="D642">
        <v>98399</v>
      </c>
    </row>
    <row r="643" spans="1:4" x14ac:dyDescent="0.25">
      <c r="A643" t="str">
        <f>T("520300")</f>
        <v>520300</v>
      </c>
      <c r="B643" t="str">
        <f>T("Coton, cardé ou peigné")</f>
        <v>Coton, cardé ou peigné</v>
      </c>
    </row>
    <row r="644" spans="1:4" x14ac:dyDescent="0.25">
      <c r="A644" t="str">
        <f>T("   ZZZ_Monde")</f>
        <v xml:space="preserve">   ZZZ_Monde</v>
      </c>
      <c r="B644" t="str">
        <f>T("   ZZZ_Monde")</f>
        <v xml:space="preserve">   ZZZ_Monde</v>
      </c>
      <c r="C644">
        <v>134022195</v>
      </c>
      <c r="D644">
        <v>268838</v>
      </c>
    </row>
    <row r="645" spans="1:4" x14ac:dyDescent="0.25">
      <c r="A645" t="str">
        <f>T("   CN")</f>
        <v xml:space="preserve">   CN</v>
      </c>
      <c r="B645" t="str">
        <f>T("   Chine")</f>
        <v xml:space="preserve">   Chine</v>
      </c>
      <c r="C645">
        <v>134022195</v>
      </c>
      <c r="D645">
        <v>268838</v>
      </c>
    </row>
    <row r="646" spans="1:4" x14ac:dyDescent="0.25">
      <c r="A646" t="str">
        <f>T("520512")</f>
        <v>520512</v>
      </c>
      <c r="B646" t="str">
        <f>T("Fils simples de coton, en fibres non peignées, contenant &gt;= 85% en poids de coton, titrant &gt;= 232,56 décitex mais &lt; 714,29 décitex [&gt; 14 numéros métriques mais &lt;= 43 numéros métriques] (sauf les fils à coudre et les fils conditionnés pour la vente au déta")</f>
        <v>Fils simples de coton, en fibres non peignées, contenant &gt;= 85% en poids de coton, titrant &gt;= 232,56 décitex mais &lt; 714,29 décitex [&gt; 14 numéros métriques mais &lt;= 43 numéros métriques] (sauf les fils à coudre et les fils conditionnés pour la vente au déta</v>
      </c>
    </row>
    <row r="647" spans="1:4" x14ac:dyDescent="0.25">
      <c r="A647" t="str">
        <f>T("   ZZZ_Monde")</f>
        <v xml:space="preserve">   ZZZ_Monde</v>
      </c>
      <c r="B647" t="str">
        <f>T("   ZZZ_Monde")</f>
        <v xml:space="preserve">   ZZZ_Monde</v>
      </c>
      <c r="C647">
        <v>812740869</v>
      </c>
      <c r="D647">
        <v>320800</v>
      </c>
    </row>
    <row r="648" spans="1:4" x14ac:dyDescent="0.25">
      <c r="A648" t="str">
        <f>T("   CN")</f>
        <v xml:space="preserve">   CN</v>
      </c>
      <c r="B648" t="str">
        <f>T("   Chine")</f>
        <v xml:space="preserve">   Chine</v>
      </c>
      <c r="C648">
        <v>812740869</v>
      </c>
      <c r="D648">
        <v>320800</v>
      </c>
    </row>
    <row r="649" spans="1:4" x14ac:dyDescent="0.25">
      <c r="A649" t="str">
        <f>T("520812")</f>
        <v>520812</v>
      </c>
      <c r="B649" t="str">
        <f>T("Tissus de coton, écrus, à armure toile, contenant &gt;= 85% en poids de coton, d'un poids &gt; 100 g/m² mais &lt;= 200 g/m²")</f>
        <v>Tissus de coton, écrus, à armure toile, contenant &gt;= 85% en poids de coton, d'un poids &gt; 100 g/m² mais &lt;= 200 g/m²</v>
      </c>
    </row>
    <row r="650" spans="1:4" x14ac:dyDescent="0.25">
      <c r="A650" t="str">
        <f>T("   ZZZ_Monde")</f>
        <v xml:space="preserve">   ZZZ_Monde</v>
      </c>
      <c r="B650" t="str">
        <f>T("   ZZZ_Monde")</f>
        <v xml:space="preserve">   ZZZ_Monde</v>
      </c>
      <c r="C650">
        <v>6740122230</v>
      </c>
      <c r="D650">
        <v>2182152.25</v>
      </c>
    </row>
    <row r="651" spans="1:4" x14ac:dyDescent="0.25">
      <c r="A651" t="str">
        <f>T("   BF")</f>
        <v xml:space="preserve">   BF</v>
      </c>
      <c r="B651" t="str">
        <f>T("   Burkina Faso")</f>
        <v xml:space="preserve">   Burkina Faso</v>
      </c>
      <c r="C651">
        <v>22680000</v>
      </c>
      <c r="D651">
        <v>6960</v>
      </c>
    </row>
    <row r="652" spans="1:4" x14ac:dyDescent="0.25">
      <c r="A652" t="str">
        <f>T("   CI")</f>
        <v xml:space="preserve">   CI</v>
      </c>
      <c r="B652" t="str">
        <f>T("   Côte d'Ivoire")</f>
        <v xml:space="preserve">   Côte d'Ivoire</v>
      </c>
      <c r="C652">
        <v>3817605120</v>
      </c>
      <c r="D652">
        <v>1158074</v>
      </c>
    </row>
    <row r="653" spans="1:4" x14ac:dyDescent="0.25">
      <c r="A653" t="str">
        <f>T("   CM")</f>
        <v xml:space="preserve">   CM</v>
      </c>
      <c r="B653" t="str">
        <f>T("   Cameroun")</f>
        <v xml:space="preserve">   Cameroun</v>
      </c>
      <c r="C653">
        <v>622524000</v>
      </c>
      <c r="D653">
        <v>200345</v>
      </c>
    </row>
    <row r="654" spans="1:4" x14ac:dyDescent="0.25">
      <c r="A654" t="str">
        <f>T("   GH")</f>
        <v xml:space="preserve">   GH</v>
      </c>
      <c r="B654" t="str">
        <f>T("   Ghana")</f>
        <v xml:space="preserve">   Ghana</v>
      </c>
      <c r="C654">
        <v>1381689960</v>
      </c>
      <c r="D654">
        <v>470733</v>
      </c>
    </row>
    <row r="655" spans="1:4" x14ac:dyDescent="0.25">
      <c r="A655" t="str">
        <f>T("   ML")</f>
        <v xml:space="preserve">   ML</v>
      </c>
      <c r="B655" t="str">
        <f>T("   Mali")</f>
        <v xml:space="preserve">   Mali</v>
      </c>
      <c r="C655">
        <v>166336800</v>
      </c>
      <c r="D655">
        <v>61640.25</v>
      </c>
    </row>
    <row r="656" spans="1:4" x14ac:dyDescent="0.25">
      <c r="A656" t="str">
        <f>T("   NE")</f>
        <v xml:space="preserve">   NE</v>
      </c>
      <c r="B656" t="str">
        <f>T("   Niger")</f>
        <v xml:space="preserve">   Niger</v>
      </c>
      <c r="C656">
        <v>241050600</v>
      </c>
      <c r="D656">
        <v>102000</v>
      </c>
    </row>
    <row r="657" spans="1:4" x14ac:dyDescent="0.25">
      <c r="A657" t="str">
        <f>T("   NG")</f>
        <v xml:space="preserve">   NG</v>
      </c>
      <c r="B657" t="str">
        <f>T("   Nigéria")</f>
        <v xml:space="preserve">   Nigéria</v>
      </c>
      <c r="C657">
        <v>488235750</v>
      </c>
      <c r="D657">
        <v>182400</v>
      </c>
    </row>
    <row r="658" spans="1:4" x14ac:dyDescent="0.25">
      <c r="A658" t="str">
        <f>T("521211")</f>
        <v>521211</v>
      </c>
      <c r="B658" t="str">
        <f>T("Tissus de coton, écrus, contenant en prédominance, mais &lt; 85% en poids de coton, autres que mélangés principalement ou uniquement avec des fibres synthétiques ou artificielles, d'un poids &lt;= 200 g/m²")</f>
        <v>Tissus de coton, écrus, contenant en prédominance, mais &lt; 85% en poids de coton, autres que mélangés principalement ou uniquement avec des fibres synthétiques ou artificielles, d'un poids &lt;= 200 g/m²</v>
      </c>
    </row>
    <row r="659" spans="1:4" x14ac:dyDescent="0.25">
      <c r="A659" t="str">
        <f>T("   ZZZ_Monde")</f>
        <v xml:space="preserve">   ZZZ_Monde</v>
      </c>
      <c r="B659" t="str">
        <f>T("   ZZZ_Monde")</f>
        <v xml:space="preserve">   ZZZ_Monde</v>
      </c>
      <c r="C659">
        <v>251806800</v>
      </c>
      <c r="D659">
        <v>82608</v>
      </c>
    </row>
    <row r="660" spans="1:4" x14ac:dyDescent="0.25">
      <c r="A660" t="str">
        <f>T("   CM")</f>
        <v xml:space="preserve">   CM</v>
      </c>
      <c r="B660" t="str">
        <f>T("   Cameroun")</f>
        <v xml:space="preserve">   Cameroun</v>
      </c>
      <c r="C660">
        <v>251806800</v>
      </c>
      <c r="D660">
        <v>82608</v>
      </c>
    </row>
    <row r="661" spans="1:4" x14ac:dyDescent="0.25">
      <c r="A661" t="str">
        <f>T("551110")</f>
        <v>551110</v>
      </c>
      <c r="B661" t="str">
        <f>T("Fils de fibres synthétiques discontinues, contenant &gt;= 85% en poids de ces fibres, conditionnés pour la vente au détail (à l'excl. des fils à coudre)")</f>
        <v>Fils de fibres synthétiques discontinues, contenant &gt;= 85% en poids de ces fibres, conditionnés pour la vente au détail (à l'excl. des fils à coudre)</v>
      </c>
    </row>
    <row r="662" spans="1:4" x14ac:dyDescent="0.25">
      <c r="A662" t="str">
        <f>T("   ZZZ_Monde")</f>
        <v xml:space="preserve">   ZZZ_Monde</v>
      </c>
      <c r="B662" t="str">
        <f>T("   ZZZ_Monde")</f>
        <v xml:space="preserve">   ZZZ_Monde</v>
      </c>
      <c r="C662">
        <v>4694560</v>
      </c>
      <c r="D662">
        <v>10540</v>
      </c>
    </row>
    <row r="663" spans="1:4" x14ac:dyDescent="0.25">
      <c r="A663" t="str">
        <f>T("   BF")</f>
        <v xml:space="preserve">   BF</v>
      </c>
      <c r="B663" t="str">
        <f>T("   Burkina Faso")</f>
        <v xml:space="preserve">   Burkina Faso</v>
      </c>
      <c r="C663">
        <v>4694560</v>
      </c>
      <c r="D663">
        <v>10540</v>
      </c>
    </row>
    <row r="664" spans="1:4" x14ac:dyDescent="0.25">
      <c r="A664" t="str">
        <f>T("560811")</f>
        <v>560811</v>
      </c>
      <c r="B664" t="str">
        <f>T("Filets confectionnés pour la pêche, à mailles nouées, en matières textiles synthétiques ou artificielles (à l'excl. des épuisettes)")</f>
        <v>Filets confectionnés pour la pêche, à mailles nouées, en matières textiles synthétiques ou artificielles (à l'excl. des épuisettes)</v>
      </c>
    </row>
    <row r="665" spans="1:4" x14ac:dyDescent="0.25">
      <c r="A665" t="str">
        <f>T("   ZZZ_Monde")</f>
        <v xml:space="preserve">   ZZZ_Monde</v>
      </c>
      <c r="B665" t="str">
        <f>T("   ZZZ_Monde")</f>
        <v xml:space="preserve">   ZZZ_Monde</v>
      </c>
      <c r="C665">
        <v>507745</v>
      </c>
      <c r="D665">
        <v>5</v>
      </c>
    </row>
    <row r="666" spans="1:4" x14ac:dyDescent="0.25">
      <c r="A666" t="str">
        <f>T("   NL")</f>
        <v xml:space="preserve">   NL</v>
      </c>
      <c r="B666" t="str">
        <f>T("   Pays-bas")</f>
        <v xml:space="preserve">   Pays-bas</v>
      </c>
      <c r="C666">
        <v>507745</v>
      </c>
      <c r="D666">
        <v>5</v>
      </c>
    </row>
    <row r="667" spans="1:4" x14ac:dyDescent="0.25">
      <c r="A667" t="str">
        <f>T("610349")</f>
        <v>610349</v>
      </c>
      <c r="B667" t="str">
        <f>T("PANTALONS, Y.C. KNICKERS ET PANTALONS SIMIL., SALOPETTES À BRETELLES, CULOTTES ET SHORTS, EN BONNETERIE, DE MATIÈRES TEXTILES, POUR HOMMES OU GARÇONNETS (SAUF DE LAINE, POILS FINS, COTON OU FIBRES SYNTHÉTIQUES ET SAUF CALETHONS ET SLIPS DE BAIN)")</f>
        <v>PANTALONS, Y.C. KNICKERS ET PANTALONS SIMIL., SALOPETTES À BRETELLES, CULOTTES ET SHORTS, EN BONNETERIE, DE MATIÈRES TEXTILES, POUR HOMMES OU GARÇONNETS (SAUF DE LAINE, POILS FINS, COTON OU FIBRES SYNTHÉTIQUES ET SAUF CALETHONS ET SLIPS DE BAIN)</v>
      </c>
    </row>
    <row r="668" spans="1:4" x14ac:dyDescent="0.25">
      <c r="A668" t="str">
        <f>T("   ZZZ_Monde")</f>
        <v xml:space="preserve">   ZZZ_Monde</v>
      </c>
      <c r="B668" t="str">
        <f>T("   ZZZ_Monde")</f>
        <v xml:space="preserve">   ZZZ_Monde</v>
      </c>
      <c r="C668">
        <v>10500000</v>
      </c>
      <c r="D668">
        <v>4500</v>
      </c>
    </row>
    <row r="669" spans="1:4" x14ac:dyDescent="0.25">
      <c r="A669" t="str">
        <f>T("   NE")</f>
        <v xml:space="preserve">   NE</v>
      </c>
      <c r="B669" t="str">
        <f>T("   Niger")</f>
        <v xml:space="preserve">   Niger</v>
      </c>
      <c r="C669">
        <v>10500000</v>
      </c>
      <c r="D669">
        <v>4500</v>
      </c>
    </row>
    <row r="670" spans="1:4" x14ac:dyDescent="0.25">
      <c r="A670" t="str">
        <f>T("610469")</f>
        <v>610469</v>
      </c>
      <c r="B670" t="str">
        <f>T("PANTALONS, Y.C. KNICKERS ET PANTALONS SIMIL., ET CULOTTES, SALOPETTES À BRETELLES ET SHORTS, EN BONNETERIE, DE MATIÈRES TEXTILES, POUR FEMMES OU FILLETTES (SAUF DE LAINE, POILS FINS, COTON, FIBRES SYNTHÉTIQUES ET SAUF SLIPS ET MAILLOTS, CULOTTES ET SLIPS")</f>
        <v>PANTALONS, Y.C. KNICKERS ET PANTALONS SIMIL., ET CULOTTES, SALOPETTES À BRETELLES ET SHORTS, EN BONNETERIE, DE MATIÈRES TEXTILES, POUR FEMMES OU FILLETTES (SAUF DE LAINE, POILS FINS, COTON, FIBRES SYNTHÉTIQUES ET SAUF SLIPS ET MAILLOTS, CULOTTES ET SLIPS</v>
      </c>
    </row>
    <row r="671" spans="1:4" x14ac:dyDescent="0.25">
      <c r="A671" t="str">
        <f>T("   ZZZ_Monde")</f>
        <v xml:space="preserve">   ZZZ_Monde</v>
      </c>
      <c r="B671" t="str">
        <f>T("   ZZZ_Monde")</f>
        <v xml:space="preserve">   ZZZ_Monde</v>
      </c>
      <c r="C671">
        <v>200000</v>
      </c>
      <c r="D671">
        <v>1900</v>
      </c>
    </row>
    <row r="672" spans="1:4" x14ac:dyDescent="0.25">
      <c r="A672" t="str">
        <f>T("   FR")</f>
        <v xml:space="preserve">   FR</v>
      </c>
      <c r="B672" t="str">
        <f>T("   France")</f>
        <v xml:space="preserve">   France</v>
      </c>
      <c r="C672">
        <v>200000</v>
      </c>
      <c r="D672">
        <v>1900</v>
      </c>
    </row>
    <row r="673" spans="1:4" x14ac:dyDescent="0.25">
      <c r="A673" t="str">
        <f>T("610990")</f>
        <v>610990</v>
      </c>
      <c r="B673" t="str">
        <f>T("T-shirts et maillots de corps, en bonneterie, de matières textiles (sauf de coton)")</f>
        <v>T-shirts et maillots de corps, en bonneterie, de matières textiles (sauf de coton)</v>
      </c>
    </row>
    <row r="674" spans="1:4" x14ac:dyDescent="0.25">
      <c r="A674" t="str">
        <f>T("   ZZZ_Monde")</f>
        <v xml:space="preserve">   ZZZ_Monde</v>
      </c>
      <c r="B674" t="str">
        <f>T("   ZZZ_Monde")</f>
        <v xml:space="preserve">   ZZZ_Monde</v>
      </c>
      <c r="C674">
        <v>10687966</v>
      </c>
      <c r="D674">
        <v>544</v>
      </c>
    </row>
    <row r="675" spans="1:4" x14ac:dyDescent="0.25">
      <c r="A675" t="str">
        <f>T("   NG")</f>
        <v xml:space="preserve">   NG</v>
      </c>
      <c r="B675" t="str">
        <f>T("   Nigéria")</f>
        <v xml:space="preserve">   Nigéria</v>
      </c>
      <c r="C675">
        <v>10687966</v>
      </c>
      <c r="D675">
        <v>544</v>
      </c>
    </row>
    <row r="676" spans="1:4" x14ac:dyDescent="0.25">
      <c r="A676" t="str">
        <f>T("611090")</f>
        <v>611090</v>
      </c>
      <c r="B676" t="str">
        <f>T("Chandails, pull-overs, cardigans, gilets et articles simil., y.c. les sous-pulls, en bonneterie, de matières textiles (sauf de laine, poils fins, coton, fibres synthétiques ou artificielles et sauf gilets ouatinés)")</f>
        <v>Chandails, pull-overs, cardigans, gilets et articles simil., y.c. les sous-pulls, en bonneterie, de matières textiles (sauf de laine, poils fins, coton, fibres synthétiques ou artificielles et sauf gilets ouatinés)</v>
      </c>
    </row>
    <row r="677" spans="1:4" x14ac:dyDescent="0.25">
      <c r="A677" t="str">
        <f>T("   ZZZ_Monde")</f>
        <v xml:space="preserve">   ZZZ_Monde</v>
      </c>
      <c r="B677" t="str">
        <f>T("   ZZZ_Monde")</f>
        <v xml:space="preserve">   ZZZ_Monde</v>
      </c>
      <c r="C677">
        <v>2576005</v>
      </c>
      <c r="D677">
        <v>112</v>
      </c>
    </row>
    <row r="678" spans="1:4" x14ac:dyDescent="0.25">
      <c r="A678" t="str">
        <f>T("   NG")</f>
        <v xml:space="preserve">   NG</v>
      </c>
      <c r="B678" t="str">
        <f>T("   Nigéria")</f>
        <v xml:space="preserve">   Nigéria</v>
      </c>
      <c r="C678">
        <v>2576005</v>
      </c>
      <c r="D678">
        <v>112</v>
      </c>
    </row>
    <row r="679" spans="1:4" x14ac:dyDescent="0.25">
      <c r="A679" t="str">
        <f>T("620329")</f>
        <v>620329</v>
      </c>
      <c r="B679" t="str">
        <f>T("ENSEMBLES DE MATIÈRES TEXTILES, POUR HOMMES OU GARÇONNETS (AUTRES QUE DE COTON OU FIBRES SYNTHÉTIQUES, AUTRES QU'EN BONNETERIE ET SAUF ENSEMBLES DE SKI ET MAILLOTS, CULOTTES ET SLIPS DE BAIN)")</f>
        <v>ENSEMBLES DE MATIÈRES TEXTILES, POUR HOMMES OU GARÇONNETS (AUTRES QUE DE COTON OU FIBRES SYNTHÉTIQUES, AUTRES QU'EN BONNETERIE ET SAUF ENSEMBLES DE SKI ET MAILLOTS, CULOTTES ET SLIPS DE BAIN)</v>
      </c>
    </row>
    <row r="680" spans="1:4" x14ac:dyDescent="0.25">
      <c r="A680" t="str">
        <f>T("   ZZZ_Monde")</f>
        <v xml:space="preserve">   ZZZ_Monde</v>
      </c>
      <c r="B680" t="str">
        <f>T("   ZZZ_Monde")</f>
        <v xml:space="preserve">   ZZZ_Monde</v>
      </c>
      <c r="C680">
        <v>33965702</v>
      </c>
      <c r="D680">
        <v>6880</v>
      </c>
    </row>
    <row r="681" spans="1:4" x14ac:dyDescent="0.25">
      <c r="A681" t="str">
        <f>T("   CD")</f>
        <v xml:space="preserve">   CD</v>
      </c>
      <c r="B681" t="str">
        <f>T("   Congo, République Démocratique")</f>
        <v xml:space="preserve">   Congo, République Démocratique</v>
      </c>
      <c r="C681">
        <v>20012000</v>
      </c>
      <c r="D681">
        <v>3480</v>
      </c>
    </row>
    <row r="682" spans="1:4" x14ac:dyDescent="0.25">
      <c r="A682" t="str">
        <f>T("   FR")</f>
        <v xml:space="preserve">   FR</v>
      </c>
      <c r="B682" t="str">
        <f>T("   France")</f>
        <v xml:space="preserve">   France</v>
      </c>
      <c r="C682">
        <v>3949000</v>
      </c>
      <c r="D682">
        <v>300</v>
      </c>
    </row>
    <row r="683" spans="1:4" x14ac:dyDescent="0.25">
      <c r="A683" t="str">
        <f>T("   GA")</f>
        <v xml:space="preserve">   GA</v>
      </c>
      <c r="B683" t="str">
        <f>T("   Gabon")</f>
        <v xml:space="preserve">   Gabon</v>
      </c>
      <c r="C683">
        <v>10004702</v>
      </c>
      <c r="D683">
        <v>3100</v>
      </c>
    </row>
    <row r="684" spans="1:4" x14ac:dyDescent="0.25">
      <c r="A684" t="str">
        <f>T("620520")</f>
        <v>620520</v>
      </c>
      <c r="B684" t="str">
        <f>T("Chemises et chemisettes, de coton, pour hommes ou garçonnets (autres qu'en bonneterie et sauf chemises de nuit et gilets de corps)")</f>
        <v>Chemises et chemisettes, de coton, pour hommes ou garçonnets (autres qu'en bonneterie et sauf chemises de nuit et gilets de corps)</v>
      </c>
    </row>
    <row r="685" spans="1:4" x14ac:dyDescent="0.25">
      <c r="A685" t="str">
        <f>T("   ZZZ_Monde")</f>
        <v xml:space="preserve">   ZZZ_Monde</v>
      </c>
      <c r="B685" t="str">
        <f>T("   ZZZ_Monde")</f>
        <v xml:space="preserve">   ZZZ_Monde</v>
      </c>
      <c r="C685">
        <v>600000</v>
      </c>
      <c r="D685">
        <v>7000</v>
      </c>
    </row>
    <row r="686" spans="1:4" x14ac:dyDescent="0.25">
      <c r="A686" t="str">
        <f>T("   MA")</f>
        <v xml:space="preserve">   MA</v>
      </c>
      <c r="B686" t="str">
        <f>T("   Maroc")</f>
        <v xml:space="preserve">   Maroc</v>
      </c>
      <c r="C686">
        <v>600000</v>
      </c>
      <c r="D686">
        <v>7000</v>
      </c>
    </row>
    <row r="687" spans="1:4" x14ac:dyDescent="0.25">
      <c r="A687" t="str">
        <f>T("620590")</f>
        <v>620590</v>
      </c>
      <c r="B687" t="str">
        <f>T("CHEMISES ET CHEMISETTES, DE MATIÈRES TEXTILES, POUR HOMMES OU GARÇONNETS (AUTRES QUE DE COTON, FIBRES SYNTHÉTIQUES OU ARTIFICIELLES, AUTRES QU'EN BONNETERIE ET SAUF CHEMISES DE NUIT ET GILETS DE CORPS)")</f>
        <v>CHEMISES ET CHEMISETTES, DE MATIÈRES TEXTILES, POUR HOMMES OU GARÇONNETS (AUTRES QUE DE COTON, FIBRES SYNTHÉTIQUES OU ARTIFICIELLES, AUTRES QU'EN BONNETERIE ET SAUF CHEMISES DE NUIT ET GILETS DE CORPS)</v>
      </c>
    </row>
    <row r="688" spans="1:4" x14ac:dyDescent="0.25">
      <c r="A688" t="str">
        <f>T("   ZZZ_Monde")</f>
        <v xml:space="preserve">   ZZZ_Monde</v>
      </c>
      <c r="B688" t="str">
        <f>T("   ZZZ_Monde")</f>
        <v xml:space="preserve">   ZZZ_Monde</v>
      </c>
      <c r="C688">
        <v>28500000</v>
      </c>
      <c r="D688">
        <v>33385</v>
      </c>
    </row>
    <row r="689" spans="1:4" x14ac:dyDescent="0.25">
      <c r="A689" t="str">
        <f>T("   BE")</f>
        <v xml:space="preserve">   BE</v>
      </c>
      <c r="B689" t="str">
        <f>T("   Belgique")</f>
        <v xml:space="preserve">   Belgique</v>
      </c>
      <c r="C689">
        <v>3600000</v>
      </c>
      <c r="D689">
        <v>5000</v>
      </c>
    </row>
    <row r="690" spans="1:4" x14ac:dyDescent="0.25">
      <c r="A690" t="str">
        <f>T("   BI")</f>
        <v xml:space="preserve">   BI</v>
      </c>
      <c r="B690" t="str">
        <f>T("   Burundi")</f>
        <v xml:space="preserve">   Burundi</v>
      </c>
      <c r="C690">
        <v>700000</v>
      </c>
      <c r="D690">
        <v>800</v>
      </c>
    </row>
    <row r="691" spans="1:4" x14ac:dyDescent="0.25">
      <c r="A691" t="str">
        <f>T("   CA")</f>
        <v xml:space="preserve">   CA</v>
      </c>
      <c r="B691" t="str">
        <f>T("   Canada")</f>
        <v xml:space="preserve">   Canada</v>
      </c>
      <c r="C691">
        <v>600000</v>
      </c>
      <c r="D691">
        <v>300</v>
      </c>
    </row>
    <row r="692" spans="1:4" x14ac:dyDescent="0.25">
      <c r="A692" t="str">
        <f>T("   CD")</f>
        <v xml:space="preserve">   CD</v>
      </c>
      <c r="B692" t="str">
        <f>T("   Congo, République Démocratique")</f>
        <v xml:space="preserve">   Congo, République Démocratique</v>
      </c>
      <c r="C692">
        <v>300000</v>
      </c>
      <c r="D692">
        <v>400</v>
      </c>
    </row>
    <row r="693" spans="1:4" x14ac:dyDescent="0.25">
      <c r="A693" t="str">
        <f>T("   CL")</f>
        <v xml:space="preserve">   CL</v>
      </c>
      <c r="B693" t="str">
        <f>T("   Chili")</f>
        <v xml:space="preserve">   Chili</v>
      </c>
      <c r="C693">
        <v>750000</v>
      </c>
      <c r="D693">
        <v>1000</v>
      </c>
    </row>
    <row r="694" spans="1:4" x14ac:dyDescent="0.25">
      <c r="A694" t="str">
        <f>T("   CM")</f>
        <v xml:space="preserve">   CM</v>
      </c>
      <c r="B694" t="str">
        <f>T("   Cameroun")</f>
        <v xml:space="preserve">   Cameroun</v>
      </c>
      <c r="C694">
        <v>1600000</v>
      </c>
      <c r="D694">
        <v>1500</v>
      </c>
    </row>
    <row r="695" spans="1:4" x14ac:dyDescent="0.25">
      <c r="A695" t="str">
        <f>T("   DE")</f>
        <v xml:space="preserve">   DE</v>
      </c>
      <c r="B695" t="str">
        <f>T("   Allemagne")</f>
        <v xml:space="preserve">   Allemagne</v>
      </c>
      <c r="C695">
        <v>1900000</v>
      </c>
      <c r="D695">
        <v>2600</v>
      </c>
    </row>
    <row r="696" spans="1:4" x14ac:dyDescent="0.25">
      <c r="A696" t="str">
        <f>T("   DK")</f>
        <v xml:space="preserve">   DK</v>
      </c>
      <c r="B696" t="str">
        <f>T("   Danemark")</f>
        <v xml:space="preserve">   Danemark</v>
      </c>
      <c r="C696">
        <v>900000</v>
      </c>
      <c r="D696">
        <v>600</v>
      </c>
    </row>
    <row r="697" spans="1:4" x14ac:dyDescent="0.25">
      <c r="A697" t="str">
        <f>T("   DZ")</f>
        <v xml:space="preserve">   DZ</v>
      </c>
      <c r="B697" t="str">
        <f>T("   Algérie")</f>
        <v xml:space="preserve">   Algérie</v>
      </c>
      <c r="C697">
        <v>500000</v>
      </c>
      <c r="D697">
        <v>600</v>
      </c>
    </row>
    <row r="698" spans="1:4" x14ac:dyDescent="0.25">
      <c r="A698" t="str">
        <f>T("   FR")</f>
        <v xml:space="preserve">   FR</v>
      </c>
      <c r="B698" t="str">
        <f>T("   France")</f>
        <v xml:space="preserve">   France</v>
      </c>
      <c r="C698">
        <v>4900000</v>
      </c>
      <c r="D698">
        <v>4700</v>
      </c>
    </row>
    <row r="699" spans="1:4" x14ac:dyDescent="0.25">
      <c r="A699" t="str">
        <f>T("   GA")</f>
        <v xml:space="preserve">   GA</v>
      </c>
      <c r="B699" t="str">
        <f>T("   Gabon")</f>
        <v xml:space="preserve">   Gabon</v>
      </c>
      <c r="C699">
        <v>1000000</v>
      </c>
      <c r="D699">
        <v>1100</v>
      </c>
    </row>
    <row r="700" spans="1:4" x14ac:dyDescent="0.25">
      <c r="A700" t="str">
        <f>T("   GN")</f>
        <v xml:space="preserve">   GN</v>
      </c>
      <c r="B700" t="str">
        <f>T("   Guinée")</f>
        <v xml:space="preserve">   Guinée</v>
      </c>
      <c r="C700">
        <v>300000</v>
      </c>
      <c r="D700">
        <v>1000</v>
      </c>
    </row>
    <row r="701" spans="1:4" x14ac:dyDescent="0.25">
      <c r="A701" t="str">
        <f>T("   GP")</f>
        <v xml:space="preserve">   GP</v>
      </c>
      <c r="B701" t="str">
        <f>T("   Guadeloupe")</f>
        <v xml:space="preserve">   Guadeloupe</v>
      </c>
      <c r="C701">
        <v>700000</v>
      </c>
      <c r="D701">
        <v>600</v>
      </c>
    </row>
    <row r="702" spans="1:4" x14ac:dyDescent="0.25">
      <c r="A702" t="str">
        <f>T("   LR")</f>
        <v xml:space="preserve">   LR</v>
      </c>
      <c r="B702" t="str">
        <f>T("   Libéria")</f>
        <v xml:space="preserve">   Libéria</v>
      </c>
      <c r="C702">
        <v>600000</v>
      </c>
      <c r="D702">
        <v>800</v>
      </c>
    </row>
    <row r="703" spans="1:4" x14ac:dyDescent="0.25">
      <c r="A703" t="str">
        <f>T("   MA")</f>
        <v xml:space="preserve">   MA</v>
      </c>
      <c r="B703" t="str">
        <f>T("   Maroc")</f>
        <v xml:space="preserve">   Maroc</v>
      </c>
      <c r="C703">
        <v>1100000</v>
      </c>
      <c r="D703">
        <v>1350</v>
      </c>
    </row>
    <row r="704" spans="1:4" x14ac:dyDescent="0.25">
      <c r="A704" t="str">
        <f>T("   ML")</f>
        <v xml:space="preserve">   ML</v>
      </c>
      <c r="B704" t="str">
        <f>T("   Mali")</f>
        <v xml:space="preserve">   Mali</v>
      </c>
      <c r="C704">
        <v>400000</v>
      </c>
      <c r="D704">
        <v>500</v>
      </c>
    </row>
    <row r="705" spans="1:4" x14ac:dyDescent="0.25">
      <c r="A705" t="str">
        <f>T("   MQ")</f>
        <v xml:space="preserve">   MQ</v>
      </c>
      <c r="B705" t="str">
        <f>T("   Martinique")</f>
        <v xml:space="preserve">   Martinique</v>
      </c>
      <c r="C705">
        <v>450000</v>
      </c>
      <c r="D705">
        <v>550</v>
      </c>
    </row>
    <row r="706" spans="1:4" x14ac:dyDescent="0.25">
      <c r="A706" t="str">
        <f>T("   NE")</f>
        <v xml:space="preserve">   NE</v>
      </c>
      <c r="B706" t="str">
        <f>T("   Niger")</f>
        <v xml:space="preserve">   Niger</v>
      </c>
      <c r="C706">
        <v>1150000</v>
      </c>
      <c r="D706">
        <v>1800</v>
      </c>
    </row>
    <row r="707" spans="1:4" x14ac:dyDescent="0.25">
      <c r="A707" t="str">
        <f>T("   NL")</f>
        <v xml:space="preserve">   NL</v>
      </c>
      <c r="B707" t="str">
        <f>T("   Pays-bas")</f>
        <v xml:space="preserve">   Pays-bas</v>
      </c>
      <c r="C707">
        <v>1000000</v>
      </c>
      <c r="D707">
        <v>650</v>
      </c>
    </row>
    <row r="708" spans="1:4" x14ac:dyDescent="0.25">
      <c r="A708" t="str">
        <f>T("   RW")</f>
        <v xml:space="preserve">   RW</v>
      </c>
      <c r="B708" t="str">
        <f>T("   Rwanda")</f>
        <v xml:space="preserve">   Rwanda</v>
      </c>
      <c r="C708">
        <v>800000</v>
      </c>
      <c r="D708">
        <v>1400</v>
      </c>
    </row>
    <row r="709" spans="1:4" x14ac:dyDescent="0.25">
      <c r="A709" t="str">
        <f>T("   SN")</f>
        <v xml:space="preserve">   SN</v>
      </c>
      <c r="B709" t="str">
        <f>T("   Sénégal")</f>
        <v xml:space="preserve">   Sénégal</v>
      </c>
      <c r="C709">
        <v>1600000</v>
      </c>
      <c r="D709">
        <v>1100</v>
      </c>
    </row>
    <row r="710" spans="1:4" x14ac:dyDescent="0.25">
      <c r="A710" t="str">
        <f>T("   TD")</f>
        <v xml:space="preserve">   TD</v>
      </c>
      <c r="B710" t="str">
        <f>T("   Tchad")</f>
        <v xml:space="preserve">   Tchad</v>
      </c>
      <c r="C710">
        <v>500000</v>
      </c>
      <c r="D710">
        <v>1700</v>
      </c>
    </row>
    <row r="711" spans="1:4" x14ac:dyDescent="0.25">
      <c r="A711" t="str">
        <f>T("   TZ")</f>
        <v xml:space="preserve">   TZ</v>
      </c>
      <c r="B711" t="str">
        <f>T("   Tanzanie")</f>
        <v xml:space="preserve">   Tanzanie</v>
      </c>
      <c r="C711">
        <v>850000</v>
      </c>
      <c r="D711">
        <v>935</v>
      </c>
    </row>
    <row r="712" spans="1:4" x14ac:dyDescent="0.25">
      <c r="A712" t="str">
        <f>T("   UG")</f>
        <v xml:space="preserve">   UG</v>
      </c>
      <c r="B712" t="str">
        <f>T("   Ouganda")</f>
        <v xml:space="preserve">   Ouganda</v>
      </c>
      <c r="C712">
        <v>300000</v>
      </c>
      <c r="D712">
        <v>300</v>
      </c>
    </row>
    <row r="713" spans="1:4" x14ac:dyDescent="0.25">
      <c r="A713" t="str">
        <f>T("   US")</f>
        <v xml:space="preserve">   US</v>
      </c>
      <c r="B713" t="str">
        <f>T("   Etats-Unis")</f>
        <v xml:space="preserve">   Etats-Unis</v>
      </c>
      <c r="C713">
        <v>1500000</v>
      </c>
      <c r="D713">
        <v>1800</v>
      </c>
    </row>
    <row r="714" spans="1:4" x14ac:dyDescent="0.25">
      <c r="A714" t="str">
        <f>T("   ZA")</f>
        <v xml:space="preserve">   ZA</v>
      </c>
      <c r="B714" t="str">
        <f>T("   Afrique du Sud")</f>
        <v xml:space="preserve">   Afrique du Sud</v>
      </c>
      <c r="C714">
        <v>500000</v>
      </c>
      <c r="D714">
        <v>300</v>
      </c>
    </row>
    <row r="715" spans="1:4" x14ac:dyDescent="0.25">
      <c r="A715" t="str">
        <f>T("621020")</f>
        <v>621020</v>
      </c>
      <c r="B715" t="str">
        <f>T("Vêtements des types du n° 6201.11 à 6201.19 [manteaux, cabans, capes et articles simil.], caoutchoutés ou imprégnés, enduits ou recouverts de matière plastique ou d'autres substances")</f>
        <v>Vêtements des types du n° 6201.11 à 6201.19 [manteaux, cabans, capes et articles simil.], caoutchoutés ou imprégnés, enduits ou recouverts de matière plastique ou d'autres substances</v>
      </c>
    </row>
    <row r="716" spans="1:4" x14ac:dyDescent="0.25">
      <c r="A716" t="str">
        <f>T("   ZZZ_Monde")</f>
        <v xml:space="preserve">   ZZZ_Monde</v>
      </c>
      <c r="B716" t="str">
        <f>T("   ZZZ_Monde")</f>
        <v xml:space="preserve">   ZZZ_Monde</v>
      </c>
      <c r="C716">
        <v>703600</v>
      </c>
      <c r="D716">
        <v>437</v>
      </c>
    </row>
    <row r="717" spans="1:4" x14ac:dyDescent="0.25">
      <c r="A717" t="str">
        <f>T("   FR")</f>
        <v xml:space="preserve">   FR</v>
      </c>
      <c r="B717" t="str">
        <f>T("   France")</f>
        <v xml:space="preserve">   France</v>
      </c>
      <c r="C717">
        <v>703600</v>
      </c>
      <c r="D717">
        <v>437</v>
      </c>
    </row>
    <row r="718" spans="1:4" x14ac:dyDescent="0.25">
      <c r="A718" t="str">
        <f>T("621040")</f>
        <v>621040</v>
      </c>
      <c r="B718" t="str">
        <f>T("Vêtements de tissus, autres qu'en bonneterie, caoutchoutés ou imprégnés, enduits ou recouverts de matière plastique ou d'autres substances, pour hommes ou garçonnets (autres que vêtements des types du n° 6201.11 à 6201.19 [manteaux, cabans, capes et artic")</f>
        <v>Vêtements de tissus, autres qu'en bonneterie, caoutchoutés ou imprégnés, enduits ou recouverts de matière plastique ou d'autres substances, pour hommes ou garçonnets (autres que vêtements des types du n° 6201.11 à 6201.19 [manteaux, cabans, capes et artic</v>
      </c>
    </row>
    <row r="719" spans="1:4" x14ac:dyDescent="0.25">
      <c r="A719" t="str">
        <f>T("   ZZZ_Monde")</f>
        <v xml:space="preserve">   ZZZ_Monde</v>
      </c>
      <c r="B719" t="str">
        <f>T("   ZZZ_Monde")</f>
        <v xml:space="preserve">   ZZZ_Monde</v>
      </c>
      <c r="C719">
        <v>12393938</v>
      </c>
      <c r="D719">
        <v>5350</v>
      </c>
    </row>
    <row r="720" spans="1:4" x14ac:dyDescent="0.25">
      <c r="A720" t="str">
        <f>T("   CA")</f>
        <v xml:space="preserve">   CA</v>
      </c>
      <c r="B720" t="str">
        <f>T("   Canada")</f>
        <v xml:space="preserve">   Canada</v>
      </c>
      <c r="C720">
        <v>1200000</v>
      </c>
      <c r="D720">
        <v>1000</v>
      </c>
    </row>
    <row r="721" spans="1:4" x14ac:dyDescent="0.25">
      <c r="A721" t="str">
        <f>T("   FR")</f>
        <v xml:space="preserve">   FR</v>
      </c>
      <c r="B721" t="str">
        <f>T("   France")</f>
        <v xml:space="preserve">   France</v>
      </c>
      <c r="C721">
        <v>9193938</v>
      </c>
      <c r="D721">
        <v>2350</v>
      </c>
    </row>
    <row r="722" spans="1:4" x14ac:dyDescent="0.25">
      <c r="A722" t="str">
        <f>T("   ZM")</f>
        <v xml:space="preserve">   ZM</v>
      </c>
      <c r="B722" t="str">
        <f>T("   Zambie")</f>
        <v xml:space="preserve">   Zambie</v>
      </c>
      <c r="C722">
        <v>2000000</v>
      </c>
      <c r="D722">
        <v>2000</v>
      </c>
    </row>
    <row r="723" spans="1:4" x14ac:dyDescent="0.25">
      <c r="A723" t="str">
        <f>T("621050")</f>
        <v>621050</v>
      </c>
      <c r="B723" t="str">
        <f>T("Vêtements de tissus, autres qu'en bonneterie, caoutchoutés ou imprégnés, enduits ou recouverts de matière plastique ou d'autres substances, pour femmes ou fillettes (autres que vêtements des types du n° 6202.11 à 6202.19 [manteaux, cabans, capes et articl")</f>
        <v>Vêtements de tissus, autres qu'en bonneterie, caoutchoutés ou imprégnés, enduits ou recouverts de matière plastique ou d'autres substances, pour femmes ou fillettes (autres que vêtements des types du n° 6202.11 à 6202.19 [manteaux, cabans, capes et articl</v>
      </c>
    </row>
    <row r="724" spans="1:4" x14ac:dyDescent="0.25">
      <c r="A724" t="str">
        <f>T("   ZZZ_Monde")</f>
        <v xml:space="preserve">   ZZZ_Monde</v>
      </c>
      <c r="B724" t="str">
        <f>T("   ZZZ_Monde")</f>
        <v xml:space="preserve">   ZZZ_Monde</v>
      </c>
      <c r="C724">
        <v>500000</v>
      </c>
      <c r="D724">
        <v>500</v>
      </c>
    </row>
    <row r="725" spans="1:4" x14ac:dyDescent="0.25">
      <c r="A725" t="str">
        <f>T("   UG")</f>
        <v xml:space="preserve">   UG</v>
      </c>
      <c r="B725" t="str">
        <f>T("   Ouganda")</f>
        <v xml:space="preserve">   Ouganda</v>
      </c>
      <c r="C725">
        <v>500000</v>
      </c>
      <c r="D725">
        <v>500</v>
      </c>
    </row>
    <row r="726" spans="1:4" x14ac:dyDescent="0.25">
      <c r="A726" t="str">
        <f>T("621132")</f>
        <v>621132</v>
      </c>
      <c r="B726" t="str">
        <f>T("Survêtements de sport 'trainings' et autres vêtements n.d.a., de coton, pour hommes ou garçonnets (autres qu'en bonneterie)")</f>
        <v>Survêtements de sport 'trainings' et autres vêtements n.d.a., de coton, pour hommes ou garçonnets (autres qu'en bonneterie)</v>
      </c>
    </row>
    <row r="727" spans="1:4" x14ac:dyDescent="0.25">
      <c r="A727" t="str">
        <f>T("   ZZZ_Monde")</f>
        <v xml:space="preserve">   ZZZ_Monde</v>
      </c>
      <c r="B727" t="str">
        <f>T("   ZZZ_Monde")</f>
        <v xml:space="preserve">   ZZZ_Monde</v>
      </c>
      <c r="C727">
        <v>2000000</v>
      </c>
      <c r="D727">
        <v>500</v>
      </c>
    </row>
    <row r="728" spans="1:4" x14ac:dyDescent="0.25">
      <c r="A728" t="str">
        <f>T("   FR")</f>
        <v xml:space="preserve">   FR</v>
      </c>
      <c r="B728" t="str">
        <f>T("   France")</f>
        <v xml:space="preserve">   France</v>
      </c>
      <c r="C728">
        <v>2000000</v>
      </c>
      <c r="D728">
        <v>500</v>
      </c>
    </row>
    <row r="729" spans="1:4" x14ac:dyDescent="0.25">
      <c r="A729" t="str">
        <f>T("630510")</f>
        <v>630510</v>
      </c>
      <c r="B729" t="str">
        <f>T("Sacs et sachets d'emballage de jute ou d'autres fibres textiles libériennes du n° 5303")</f>
        <v>Sacs et sachets d'emballage de jute ou d'autres fibres textiles libériennes du n° 5303</v>
      </c>
    </row>
    <row r="730" spans="1:4" x14ac:dyDescent="0.25">
      <c r="A730" t="str">
        <f>T("   ZZZ_Monde")</f>
        <v xml:space="preserve">   ZZZ_Monde</v>
      </c>
      <c r="B730" t="str">
        <f>T("   ZZZ_Monde")</f>
        <v xml:space="preserve">   ZZZ_Monde</v>
      </c>
      <c r="C730">
        <v>53190416</v>
      </c>
      <c r="D730">
        <v>97099.7</v>
      </c>
    </row>
    <row r="731" spans="1:4" x14ac:dyDescent="0.25">
      <c r="A731" t="str">
        <f>T("   BD")</f>
        <v xml:space="preserve">   BD</v>
      </c>
      <c r="B731" t="str">
        <f>T("   Bangladesh")</f>
        <v xml:space="preserve">   Bangladesh</v>
      </c>
      <c r="C731">
        <v>8436560</v>
      </c>
      <c r="D731">
        <v>19471.8</v>
      </c>
    </row>
    <row r="732" spans="1:4" x14ac:dyDescent="0.25">
      <c r="A732" t="str">
        <f>T("   IN")</f>
        <v xml:space="preserve">   IN</v>
      </c>
      <c r="B732" t="str">
        <f>T("   Inde")</f>
        <v xml:space="preserve">   Inde</v>
      </c>
      <c r="C732">
        <v>42053856</v>
      </c>
      <c r="D732">
        <v>73927.899999999994</v>
      </c>
    </row>
    <row r="733" spans="1:4" x14ac:dyDescent="0.25">
      <c r="A733" t="str">
        <f>T("   TG")</f>
        <v xml:space="preserve">   TG</v>
      </c>
      <c r="B733" t="str">
        <f>T("   Togo")</f>
        <v xml:space="preserve">   Togo</v>
      </c>
      <c r="C733">
        <v>2700000</v>
      </c>
      <c r="D733">
        <v>3700</v>
      </c>
    </row>
    <row r="734" spans="1:4" x14ac:dyDescent="0.25">
      <c r="A734" t="str">
        <f>T("630619")</f>
        <v>630619</v>
      </c>
      <c r="B734" t="str">
        <f>T("Bâches et stores d'extérieur de matières textiles (autres que de coton ou fibres synthétiques et sauf auvents plats en tissus légers, confectionnés selon le type de bâche)")</f>
        <v>Bâches et stores d'extérieur de matières textiles (autres que de coton ou fibres synthétiques et sauf auvents plats en tissus légers, confectionnés selon le type de bâche)</v>
      </c>
    </row>
    <row r="735" spans="1:4" x14ac:dyDescent="0.25">
      <c r="A735" t="str">
        <f>T("   ZZZ_Monde")</f>
        <v xml:space="preserve">   ZZZ_Monde</v>
      </c>
      <c r="B735" t="str">
        <f>T("   ZZZ_Monde")</f>
        <v xml:space="preserve">   ZZZ_Monde</v>
      </c>
      <c r="C735">
        <v>655960</v>
      </c>
      <c r="D735">
        <v>80</v>
      </c>
    </row>
    <row r="736" spans="1:4" x14ac:dyDescent="0.25">
      <c r="A736" t="str">
        <f>T("   GM")</f>
        <v xml:space="preserve">   GM</v>
      </c>
      <c r="B736" t="str">
        <f>T("   Gambie")</f>
        <v xml:space="preserve">   Gambie</v>
      </c>
      <c r="C736">
        <v>655960</v>
      </c>
      <c r="D736">
        <v>80</v>
      </c>
    </row>
    <row r="737" spans="1:4" x14ac:dyDescent="0.25">
      <c r="A737" t="str">
        <f>T("630900")</f>
        <v>630900</v>
      </c>
      <c r="B737" t="str">
        <f>T("Articles de friperie composés de vêtements, accessoires du vêtement, couvertures, linge de maison et articles d'aménagement intérieur, en tous types de matières textiles, y.c. les chaussures et coiffures de tous genres, manifestement usagés et présentés e")</f>
        <v>Articles de friperie composés de vêtements, accessoires du vêtement, couvertures, linge de maison et articles d'aménagement intérieur, en tous types de matières textiles, y.c. les chaussures et coiffures de tous genres, manifestement usagés et présentés e</v>
      </c>
    </row>
    <row r="738" spans="1:4" x14ac:dyDescent="0.25">
      <c r="A738" t="str">
        <f>T("   ZZZ_Monde")</f>
        <v xml:space="preserve">   ZZZ_Monde</v>
      </c>
      <c r="B738" t="str">
        <f>T("   ZZZ_Monde")</f>
        <v xml:space="preserve">   ZZZ_Monde</v>
      </c>
      <c r="C738">
        <v>13500000</v>
      </c>
      <c r="D738">
        <v>40900</v>
      </c>
    </row>
    <row r="739" spans="1:4" x14ac:dyDescent="0.25">
      <c r="A739" t="str">
        <f>T("   CI")</f>
        <v xml:space="preserve">   CI</v>
      </c>
      <c r="B739" t="str">
        <f>T("   Côte d'Ivoire")</f>
        <v xml:space="preserve">   Côte d'Ivoire</v>
      </c>
      <c r="C739">
        <v>11000000</v>
      </c>
      <c r="D739">
        <v>38000</v>
      </c>
    </row>
    <row r="740" spans="1:4" x14ac:dyDescent="0.25">
      <c r="A740" t="str">
        <f>T("   FR")</f>
        <v xml:space="preserve">   FR</v>
      </c>
      <c r="B740" t="str">
        <f>T("   France")</f>
        <v xml:space="preserve">   France</v>
      </c>
      <c r="C740">
        <v>1000000</v>
      </c>
      <c r="D740">
        <v>2000</v>
      </c>
    </row>
    <row r="741" spans="1:4" x14ac:dyDescent="0.25">
      <c r="A741" t="str">
        <f>T("   ZA")</f>
        <v xml:space="preserve">   ZA</v>
      </c>
      <c r="B741" t="str">
        <f>T("   Afrique du Sud")</f>
        <v xml:space="preserve">   Afrique du Sud</v>
      </c>
      <c r="C741">
        <v>1500000</v>
      </c>
      <c r="D741">
        <v>900</v>
      </c>
    </row>
    <row r="742" spans="1:4" x14ac:dyDescent="0.25">
      <c r="A742" t="str">
        <f>T("640419")</f>
        <v>640419</v>
      </c>
      <c r="B742" t="str">
        <f>T("Chaussures à semelles extérieures en caoutchouc ou en matière plastique et à dessus en matières textiles (sauf chaussures de sport, y.c. chaussures dites de tennis, de basket-ball, de gymnastique, d'entraînement et chaussures simil. ainsi que chaussures a")</f>
        <v>Chaussures à semelles extérieures en caoutchouc ou en matière plastique et à dessus en matières textiles (sauf chaussures de sport, y.c. chaussures dites de tennis, de basket-ball, de gymnastique, d'entraînement et chaussures simil. ainsi que chaussures a</v>
      </c>
    </row>
    <row r="743" spans="1:4" x14ac:dyDescent="0.25">
      <c r="A743" t="str">
        <f>T("   ZZZ_Monde")</f>
        <v xml:space="preserve">   ZZZ_Monde</v>
      </c>
      <c r="B743" t="str">
        <f>T("   ZZZ_Monde")</f>
        <v xml:space="preserve">   ZZZ_Monde</v>
      </c>
      <c r="C743">
        <v>700000</v>
      </c>
      <c r="D743">
        <v>2000</v>
      </c>
    </row>
    <row r="744" spans="1:4" x14ac:dyDescent="0.25">
      <c r="A744" t="str">
        <f>T("   GA")</f>
        <v xml:space="preserve">   GA</v>
      </c>
      <c r="B744" t="str">
        <f>T("   Gabon")</f>
        <v xml:space="preserve">   Gabon</v>
      </c>
      <c r="C744">
        <v>700000</v>
      </c>
      <c r="D744">
        <v>2000</v>
      </c>
    </row>
    <row r="745" spans="1:4" x14ac:dyDescent="0.25">
      <c r="A745" t="str">
        <f>T("650590")</f>
        <v>650590</v>
      </c>
      <c r="B745" t="str">
        <f>T("Chapeaux et autres coiffures en bonneterie ou confectionnés à l'aide de dentelles, feutre ou autres produits textiles, en pièces -mais non en bandes-, même garnis (sauf résilles, filets à cheveux et coiffures pour animaux ou ayant le caractère de jouets o")</f>
        <v>Chapeaux et autres coiffures en bonneterie ou confectionnés à l'aide de dentelles, feutre ou autres produits textiles, en pièces -mais non en bandes-, même garnis (sauf résilles, filets à cheveux et coiffures pour animaux ou ayant le caractère de jouets o</v>
      </c>
    </row>
    <row r="746" spans="1:4" x14ac:dyDescent="0.25">
      <c r="A746" t="str">
        <f>T("   ZZZ_Monde")</f>
        <v xml:space="preserve">   ZZZ_Monde</v>
      </c>
      <c r="B746" t="str">
        <f>T("   ZZZ_Monde")</f>
        <v xml:space="preserve">   ZZZ_Monde</v>
      </c>
      <c r="C746">
        <v>7005653</v>
      </c>
      <c r="D746">
        <v>658</v>
      </c>
    </row>
    <row r="747" spans="1:4" x14ac:dyDescent="0.25">
      <c r="A747" t="str">
        <f>T("   NG")</f>
        <v xml:space="preserve">   NG</v>
      </c>
      <c r="B747" t="str">
        <f>T("   Nigéria")</f>
        <v xml:space="preserve">   Nigéria</v>
      </c>
      <c r="C747">
        <v>7005653</v>
      </c>
      <c r="D747">
        <v>658</v>
      </c>
    </row>
    <row r="748" spans="1:4" x14ac:dyDescent="0.25">
      <c r="A748" t="str">
        <f>T("650699")</f>
        <v>650699</v>
      </c>
      <c r="B748" t="str">
        <f>T("Chapeaux et autres coiffures, même garnis, n.d.a.")</f>
        <v>Chapeaux et autres coiffures, même garnis, n.d.a.</v>
      </c>
    </row>
    <row r="749" spans="1:4" x14ac:dyDescent="0.25">
      <c r="A749" t="str">
        <f>T("   ZZZ_Monde")</f>
        <v xml:space="preserve">   ZZZ_Monde</v>
      </c>
      <c r="B749" t="str">
        <f>T("   ZZZ_Monde")</f>
        <v xml:space="preserve">   ZZZ_Monde</v>
      </c>
      <c r="C749">
        <v>223255</v>
      </c>
      <c r="D749">
        <v>54</v>
      </c>
    </row>
    <row r="750" spans="1:4" x14ac:dyDescent="0.25">
      <c r="A750" t="str">
        <f>T("   NL")</f>
        <v xml:space="preserve">   NL</v>
      </c>
      <c r="B750" t="str">
        <f>T("   Pays-bas")</f>
        <v xml:space="preserve">   Pays-bas</v>
      </c>
      <c r="C750">
        <v>223255</v>
      </c>
      <c r="D750">
        <v>54</v>
      </c>
    </row>
    <row r="751" spans="1:4" x14ac:dyDescent="0.25">
      <c r="A751" t="str">
        <f>T("660110")</f>
        <v>660110</v>
      </c>
      <c r="B751" t="str">
        <f>T("Parasols de jardin et articles simil. (sauf tentes de plage)")</f>
        <v>Parasols de jardin et articles simil. (sauf tentes de plage)</v>
      </c>
    </row>
    <row r="752" spans="1:4" x14ac:dyDescent="0.25">
      <c r="A752" t="str">
        <f>T("   ZZZ_Monde")</f>
        <v xml:space="preserve">   ZZZ_Monde</v>
      </c>
      <c r="B752" t="str">
        <f>T("   ZZZ_Monde")</f>
        <v xml:space="preserve">   ZZZ_Monde</v>
      </c>
      <c r="C752">
        <v>20170000</v>
      </c>
      <c r="D752">
        <v>1990</v>
      </c>
    </row>
    <row r="753" spans="1:4" x14ac:dyDescent="0.25">
      <c r="A753" t="str">
        <f>T("   GQ")</f>
        <v xml:space="preserve">   GQ</v>
      </c>
      <c r="B753" t="str">
        <f>T("   Guinée Equatoriale")</f>
        <v xml:space="preserve">   Guinée Equatoriale</v>
      </c>
      <c r="C753">
        <v>370000</v>
      </c>
      <c r="D753">
        <v>40</v>
      </c>
    </row>
    <row r="754" spans="1:4" x14ac:dyDescent="0.25">
      <c r="A754" t="str">
        <f>T("   ML")</f>
        <v xml:space="preserve">   ML</v>
      </c>
      <c r="B754" t="str">
        <f>T("   Mali")</f>
        <v xml:space="preserve">   Mali</v>
      </c>
      <c r="C754">
        <v>19800000</v>
      </c>
      <c r="D754">
        <v>1950</v>
      </c>
    </row>
    <row r="755" spans="1:4" x14ac:dyDescent="0.25">
      <c r="A755" t="str">
        <f>T("660199")</f>
        <v>660199</v>
      </c>
      <c r="B755" t="str">
        <f>T("Parapluies, y.c. les parapluies-cannes et ombrelles (sauf parapluies et ombrelles à mât ou à manche télescopique, parasols de jardin et articles simil. et sauf jouets d'enfants)")</f>
        <v>Parapluies, y.c. les parapluies-cannes et ombrelles (sauf parapluies et ombrelles à mât ou à manche télescopique, parasols de jardin et articles simil. et sauf jouets d'enfants)</v>
      </c>
    </row>
    <row r="756" spans="1:4" x14ac:dyDescent="0.25">
      <c r="A756" t="str">
        <f>T("   ZZZ_Monde")</f>
        <v xml:space="preserve">   ZZZ_Monde</v>
      </c>
      <c r="B756" t="str">
        <f>T("   ZZZ_Monde")</f>
        <v xml:space="preserve">   ZZZ_Monde</v>
      </c>
      <c r="C756">
        <v>13914476</v>
      </c>
      <c r="D756">
        <v>1404</v>
      </c>
    </row>
    <row r="757" spans="1:4" x14ac:dyDescent="0.25">
      <c r="A757" t="str">
        <f>T("   BF")</f>
        <v xml:space="preserve">   BF</v>
      </c>
      <c r="B757" t="str">
        <f>T("   Burkina Faso")</f>
        <v xml:space="preserve">   Burkina Faso</v>
      </c>
      <c r="C757">
        <v>12800000</v>
      </c>
      <c r="D757">
        <v>1300</v>
      </c>
    </row>
    <row r="758" spans="1:4" x14ac:dyDescent="0.25">
      <c r="A758" t="str">
        <f>T("   NG")</f>
        <v xml:space="preserve">   NG</v>
      </c>
      <c r="B758" t="str">
        <f>T("   Nigéria")</f>
        <v xml:space="preserve">   Nigéria</v>
      </c>
      <c r="C758">
        <v>1114476</v>
      </c>
      <c r="D758">
        <v>104</v>
      </c>
    </row>
    <row r="759" spans="1:4" x14ac:dyDescent="0.25">
      <c r="A759" t="str">
        <f>T("670290")</f>
        <v>670290</v>
      </c>
      <c r="B759" t="str">
        <f>T("Fleurs, feuillages et fruits artificiels, y.c. leurs parties; articles confectionnés en fleurs, feuillages ou fruits artificiels fabriqués par ligature, collage, emboîtage ou procédés simil. (autres qu'en matière plastique)")</f>
        <v>Fleurs, feuillages et fruits artificiels, y.c. leurs parties; articles confectionnés en fleurs, feuillages ou fruits artificiels fabriqués par ligature, collage, emboîtage ou procédés simil. (autres qu'en matière plastique)</v>
      </c>
    </row>
    <row r="760" spans="1:4" x14ac:dyDescent="0.25">
      <c r="A760" t="str">
        <f>T("   ZZZ_Monde")</f>
        <v xml:space="preserve">   ZZZ_Monde</v>
      </c>
      <c r="B760" t="str">
        <f>T("   ZZZ_Monde")</f>
        <v xml:space="preserve">   ZZZ_Monde</v>
      </c>
      <c r="C760">
        <v>266039</v>
      </c>
      <c r="D760">
        <v>1000</v>
      </c>
    </row>
    <row r="761" spans="1:4" x14ac:dyDescent="0.25">
      <c r="A761" t="str">
        <f>T("   LB")</f>
        <v xml:space="preserve">   LB</v>
      </c>
      <c r="B761" t="str">
        <f>T("   Liban")</f>
        <v xml:space="preserve">   Liban</v>
      </c>
      <c r="C761">
        <v>266039</v>
      </c>
      <c r="D761">
        <v>1000</v>
      </c>
    </row>
    <row r="762" spans="1:4" x14ac:dyDescent="0.25">
      <c r="A762" t="str">
        <f>T("680229")</f>
        <v>680229</v>
      </c>
      <c r="B762" t="str">
        <f>T("Pierres de taille ou de construction, naturelles, autres que les pierres calcaires, le granit et l'ardoise et ouvrages en ces pierres, simplement taillées ou sciées et à surface plane ou unie (sauf à surface entièrement ou partiellement rabotée, poncée au")</f>
        <v>Pierres de taille ou de construction, naturelles, autres que les pierres calcaires, le granit et l'ardoise et ouvrages en ces pierres, simplement taillées ou sciées et à surface plane ou unie (sauf à surface entièrement ou partiellement rabotée, poncée au</v>
      </c>
    </row>
    <row r="763" spans="1:4" x14ac:dyDescent="0.25">
      <c r="A763" t="str">
        <f>T("   ZZZ_Monde")</f>
        <v xml:space="preserve">   ZZZ_Monde</v>
      </c>
      <c r="B763" t="str">
        <f>T("   ZZZ_Monde")</f>
        <v xml:space="preserve">   ZZZ_Monde</v>
      </c>
      <c r="C763">
        <v>1900000</v>
      </c>
      <c r="D763">
        <v>48000</v>
      </c>
    </row>
    <row r="764" spans="1:4" x14ac:dyDescent="0.25">
      <c r="A764" t="str">
        <f>T("   GA")</f>
        <v xml:space="preserve">   GA</v>
      </c>
      <c r="B764" t="str">
        <f>T("   Gabon")</f>
        <v xml:space="preserve">   Gabon</v>
      </c>
      <c r="C764">
        <v>1900000</v>
      </c>
      <c r="D764">
        <v>48000</v>
      </c>
    </row>
    <row r="765" spans="1:4" x14ac:dyDescent="0.25">
      <c r="A765" t="str">
        <f>T("680430")</f>
        <v>680430</v>
      </c>
      <c r="B765" t="str">
        <f>T("Pierres à aiguiser ou à polir à la main")</f>
        <v>Pierres à aiguiser ou à polir à la main</v>
      </c>
    </row>
    <row r="766" spans="1:4" x14ac:dyDescent="0.25">
      <c r="A766" t="str">
        <f>T("   ZZZ_Monde")</f>
        <v xml:space="preserve">   ZZZ_Monde</v>
      </c>
      <c r="B766" t="str">
        <f>T("   ZZZ_Monde")</f>
        <v xml:space="preserve">   ZZZ_Monde</v>
      </c>
      <c r="C766">
        <v>525000</v>
      </c>
      <c r="D766">
        <v>11068</v>
      </c>
    </row>
    <row r="767" spans="1:4" x14ac:dyDescent="0.25">
      <c r="A767" t="str">
        <f>T("   DE")</f>
        <v xml:space="preserve">   DE</v>
      </c>
      <c r="B767" t="str">
        <f>T("   Allemagne")</f>
        <v xml:space="preserve">   Allemagne</v>
      </c>
      <c r="C767">
        <v>525000</v>
      </c>
      <c r="D767">
        <v>11068</v>
      </c>
    </row>
    <row r="768" spans="1:4" x14ac:dyDescent="0.25">
      <c r="A768" t="str">
        <f>T("691200")</f>
        <v>691200</v>
      </c>
      <c r="B768" t="str">
        <f>T("Vaisselle, autres articles de ménage ou d'économie domestique et articles d'hygiène ou de toilette en céramique, autres que la porcelaine (sauf baignoires, bidets, éviers et autres appareils fixes simil.; statuettes et autres objets d'ornementation; cruch")</f>
        <v>Vaisselle, autres articles de ménage ou d'économie domestique et articles d'hygiène ou de toilette en céramique, autres que la porcelaine (sauf baignoires, bidets, éviers et autres appareils fixes simil.; statuettes et autres objets d'ornementation; cruch</v>
      </c>
    </row>
    <row r="769" spans="1:4" x14ac:dyDescent="0.25">
      <c r="A769" t="str">
        <f>T("   ZZZ_Monde")</f>
        <v xml:space="preserve">   ZZZ_Monde</v>
      </c>
      <c r="B769" t="str">
        <f>T("   ZZZ_Monde")</f>
        <v xml:space="preserve">   ZZZ_Monde</v>
      </c>
      <c r="C769">
        <v>2041000</v>
      </c>
      <c r="D769">
        <v>5200</v>
      </c>
    </row>
    <row r="770" spans="1:4" x14ac:dyDescent="0.25">
      <c r="A770" t="str">
        <f>T("   FR")</f>
        <v xml:space="preserve">   FR</v>
      </c>
      <c r="B770" t="str">
        <f>T("   France")</f>
        <v xml:space="preserve">   France</v>
      </c>
      <c r="C770">
        <v>1799000</v>
      </c>
      <c r="D770">
        <v>5000</v>
      </c>
    </row>
    <row r="771" spans="1:4" x14ac:dyDescent="0.25">
      <c r="A771" t="str">
        <f>T("   GQ")</f>
        <v xml:space="preserve">   GQ</v>
      </c>
      <c r="B771" t="str">
        <f>T("   Guinée Equatoriale")</f>
        <v xml:space="preserve">   Guinée Equatoriale</v>
      </c>
      <c r="C771">
        <v>242000</v>
      </c>
      <c r="D771">
        <v>200</v>
      </c>
    </row>
    <row r="772" spans="1:4" x14ac:dyDescent="0.25">
      <c r="A772" t="str">
        <f>T("700490")</f>
        <v>700490</v>
      </c>
      <c r="B772" t="str">
        <f>T("FEUILLES EN VERRE ÉTIRÉ OU SOUFFLÉ MAIS NON AUTREMENT TRAVAILLÉ (AUTRES QU'EN VERRE COLORÉ DANS LA MASSE, OPACIFIÉ, PLAQUÉ [DOUBLÉ], OU À COUCHE ABSORBANTE, RÉFLÉCHISSANTE OU NON-RÉFLÉCHISSANTE)")</f>
        <v>FEUILLES EN VERRE ÉTIRÉ OU SOUFFLÉ MAIS NON AUTREMENT TRAVAILLÉ (AUTRES QU'EN VERRE COLORÉ DANS LA MASSE, OPACIFIÉ, PLAQUÉ [DOUBLÉ], OU À COUCHE ABSORBANTE, RÉFLÉCHISSANTE OU NON-RÉFLÉCHISSANTE)</v>
      </c>
    </row>
    <row r="773" spans="1:4" x14ac:dyDescent="0.25">
      <c r="A773" t="str">
        <f>T("   ZZZ_Monde")</f>
        <v xml:space="preserve">   ZZZ_Monde</v>
      </c>
      <c r="B773" t="str">
        <f>T("   ZZZ_Monde")</f>
        <v xml:space="preserve">   ZZZ_Monde</v>
      </c>
      <c r="C773">
        <v>1655000</v>
      </c>
      <c r="D773">
        <v>480</v>
      </c>
    </row>
    <row r="774" spans="1:4" x14ac:dyDescent="0.25">
      <c r="A774" t="str">
        <f>T("   GQ")</f>
        <v xml:space="preserve">   GQ</v>
      </c>
      <c r="B774" t="str">
        <f>T("   Guinée Equatoriale")</f>
        <v xml:space="preserve">   Guinée Equatoriale</v>
      </c>
      <c r="C774">
        <v>1655000</v>
      </c>
      <c r="D774">
        <v>480</v>
      </c>
    </row>
    <row r="775" spans="1:4" x14ac:dyDescent="0.25">
      <c r="A775" t="str">
        <f>T("701090")</f>
        <v>701090</v>
      </c>
      <c r="B775" t="str">
        <f>T("Bonbonnes, bouteilles, flacons, bocaux, pots, emballages tubulaires et autres récipients en verre pour le transport ou l'emballage commercial et bocaux à conserves en verre (sauf ampoules, bouteilles isolantes et récipients dont l'isolation est assurée pa")</f>
        <v>Bonbonnes, bouteilles, flacons, bocaux, pots, emballages tubulaires et autres récipients en verre pour le transport ou l'emballage commercial et bocaux à conserves en verre (sauf ampoules, bouteilles isolantes et récipients dont l'isolation est assurée pa</v>
      </c>
    </row>
    <row r="776" spans="1:4" x14ac:dyDescent="0.25">
      <c r="A776" t="str">
        <f>T("   ZZZ_Monde")</f>
        <v xml:space="preserve">   ZZZ_Monde</v>
      </c>
      <c r="B776" t="str">
        <f>T("   ZZZ_Monde")</f>
        <v xml:space="preserve">   ZZZ_Monde</v>
      </c>
      <c r="C776">
        <v>264000</v>
      </c>
      <c r="D776">
        <v>60</v>
      </c>
    </row>
    <row r="777" spans="1:4" x14ac:dyDescent="0.25">
      <c r="A777" t="str">
        <f>T("   CM")</f>
        <v xml:space="preserve">   CM</v>
      </c>
      <c r="B777" t="str">
        <f>T("   Cameroun")</f>
        <v xml:space="preserve">   Cameroun</v>
      </c>
      <c r="C777">
        <v>264000</v>
      </c>
      <c r="D777">
        <v>60</v>
      </c>
    </row>
    <row r="778" spans="1:4" x14ac:dyDescent="0.25">
      <c r="A778" t="str">
        <f>T("710490")</f>
        <v>710490</v>
      </c>
      <c r="B778" t="str">
        <f>T("Pierres de bijouterie et simil., synthétiques ou reconstituées, travaillées, même assorties, mais non enfilées, ni montées, ni serties et pierres de bijouterie et simil., synthétiques ou reconstituées, travaillées mais non assorties et enfilées temporaire")</f>
        <v>Pierres de bijouterie et simil., synthétiques ou reconstituées, travaillées, même assorties, mais non enfilées, ni montées, ni serties et pierres de bijouterie et simil., synthétiques ou reconstituées, travaillées mais non assorties et enfilées temporaire</v>
      </c>
    </row>
    <row r="779" spans="1:4" x14ac:dyDescent="0.25">
      <c r="A779" t="str">
        <f>T("   ZZZ_Monde")</f>
        <v xml:space="preserve">   ZZZ_Monde</v>
      </c>
      <c r="B779" t="str">
        <f>T("   ZZZ_Monde")</f>
        <v xml:space="preserve">   ZZZ_Monde</v>
      </c>
      <c r="C779">
        <v>1099900</v>
      </c>
      <c r="D779">
        <v>21880</v>
      </c>
    </row>
    <row r="780" spans="1:4" x14ac:dyDescent="0.25">
      <c r="A780" t="str">
        <f>T("   GA")</f>
        <v xml:space="preserve">   GA</v>
      </c>
      <c r="B780" t="str">
        <f>T("   Gabon")</f>
        <v xml:space="preserve">   Gabon</v>
      </c>
      <c r="C780">
        <v>100000</v>
      </c>
      <c r="D780">
        <v>180</v>
      </c>
    </row>
    <row r="781" spans="1:4" x14ac:dyDescent="0.25">
      <c r="A781" t="str">
        <f>T("   TH")</f>
        <v xml:space="preserve">   TH</v>
      </c>
      <c r="B781" t="str">
        <f>T("   Thaïlande")</f>
        <v xml:space="preserve">   Thaïlande</v>
      </c>
      <c r="C781">
        <v>999900</v>
      </c>
      <c r="D781">
        <v>21700</v>
      </c>
    </row>
    <row r="782" spans="1:4" x14ac:dyDescent="0.25">
      <c r="A782" t="str">
        <f>T("720429")</f>
        <v>720429</v>
      </c>
      <c r="B782" t="str">
        <f>T("DÉCHETS ET DÉBRIS D'ACIERS ALLIÉS [FERRAILLES] (SAUF ACIERS INOXYDABLES, DÉCHETS RADIOACTIFS ET DÉCHETS ET DÉBRIS DE PILES, DE BATTERIES DE PILES ET D'ACCUMULATEURS ÉLECTRIQUES)")</f>
        <v>DÉCHETS ET DÉBRIS D'ACIERS ALLIÉS [FERRAILLES] (SAUF ACIERS INOXYDABLES, DÉCHETS RADIOACTIFS ET DÉCHETS ET DÉBRIS DE PILES, DE BATTERIES DE PILES ET D'ACCUMULATEURS ÉLECTRIQUES)</v>
      </c>
    </row>
    <row r="783" spans="1:4" x14ac:dyDescent="0.25">
      <c r="A783" t="str">
        <f>T("   ZZZ_Monde")</f>
        <v xml:space="preserve">   ZZZ_Monde</v>
      </c>
      <c r="B783" t="str">
        <f>T("   ZZZ_Monde")</f>
        <v xml:space="preserve">   ZZZ_Monde</v>
      </c>
      <c r="C783">
        <v>870066100</v>
      </c>
      <c r="D783">
        <v>27385592</v>
      </c>
    </row>
    <row r="784" spans="1:4" x14ac:dyDescent="0.25">
      <c r="A784" t="str">
        <f>T("   CN")</f>
        <v xml:space="preserve">   CN</v>
      </c>
      <c r="B784" t="str">
        <f>T("   Chine")</f>
        <v xml:space="preserve">   Chine</v>
      </c>
      <c r="C784">
        <v>205750000</v>
      </c>
      <c r="D784">
        <v>4475000</v>
      </c>
    </row>
    <row r="785" spans="1:4" x14ac:dyDescent="0.25">
      <c r="A785" t="str">
        <f>T("   ES")</f>
        <v xml:space="preserve">   ES</v>
      </c>
      <c r="B785" t="str">
        <f>T("   Espagne")</f>
        <v xml:space="preserve">   Espagne</v>
      </c>
      <c r="C785">
        <v>750000</v>
      </c>
      <c r="D785">
        <v>15000</v>
      </c>
    </row>
    <row r="786" spans="1:4" x14ac:dyDescent="0.25">
      <c r="A786" t="str">
        <f>T("   GH")</f>
        <v xml:space="preserve">   GH</v>
      </c>
      <c r="B786" t="str">
        <f>T("   Ghana")</f>
        <v xml:space="preserve">   Ghana</v>
      </c>
      <c r="C786">
        <v>2000000</v>
      </c>
      <c r="D786">
        <v>40000</v>
      </c>
    </row>
    <row r="787" spans="1:4" x14ac:dyDescent="0.25">
      <c r="A787" t="str">
        <f>T("   IN")</f>
        <v xml:space="preserve">   IN</v>
      </c>
      <c r="B787" t="str">
        <f>T("   Inde")</f>
        <v xml:space="preserve">   Inde</v>
      </c>
      <c r="C787">
        <v>451066100</v>
      </c>
      <c r="D787">
        <v>18645592</v>
      </c>
    </row>
    <row r="788" spans="1:4" x14ac:dyDescent="0.25">
      <c r="A788" t="str">
        <f>T("   VN")</f>
        <v xml:space="preserve">   VN</v>
      </c>
      <c r="B788" t="str">
        <f>T("   Vietnam")</f>
        <v xml:space="preserve">   Vietnam</v>
      </c>
      <c r="C788">
        <v>210500000</v>
      </c>
      <c r="D788">
        <v>4210000</v>
      </c>
    </row>
    <row r="789" spans="1:4" x14ac:dyDescent="0.25">
      <c r="A789" t="str">
        <f>T("720430")</f>
        <v>720430</v>
      </c>
      <c r="B789" t="str">
        <f>T("DÉCHETS ET DÉBRIS DE FER OU D'ACIER ÉTAMÉS [FERRAILLES] (AUTRES QUE RADIOACTIFS ET DÉCHETS ET DÉBRIS DE PILES, DE BATTERIES DE PILES ET D'ACCUMULATEURS ÉLECTRIQUES)")</f>
        <v>DÉCHETS ET DÉBRIS DE FER OU D'ACIER ÉTAMÉS [FERRAILLES] (AUTRES QUE RADIOACTIFS ET DÉCHETS ET DÉBRIS DE PILES, DE BATTERIES DE PILES ET D'ACCUMULATEURS ÉLECTRIQUES)</v>
      </c>
    </row>
    <row r="790" spans="1:4" x14ac:dyDescent="0.25">
      <c r="A790" t="str">
        <f>T("   ZZZ_Monde")</f>
        <v xml:space="preserve">   ZZZ_Monde</v>
      </c>
      <c r="B790" t="str">
        <f>T("   ZZZ_Monde")</f>
        <v xml:space="preserve">   ZZZ_Monde</v>
      </c>
      <c r="C790">
        <v>396287500</v>
      </c>
      <c r="D790">
        <v>11347082</v>
      </c>
    </row>
    <row r="791" spans="1:4" x14ac:dyDescent="0.25">
      <c r="A791" t="str">
        <f>T("   AE")</f>
        <v xml:space="preserve">   AE</v>
      </c>
      <c r="B791" t="str">
        <f>T("   Emirats Arabes Unis")</f>
        <v xml:space="preserve">   Emirats Arabes Unis</v>
      </c>
      <c r="C791">
        <v>500000</v>
      </c>
      <c r="D791">
        <v>10000</v>
      </c>
    </row>
    <row r="792" spans="1:4" x14ac:dyDescent="0.25">
      <c r="A792" t="str">
        <f>T("   CN")</f>
        <v xml:space="preserve">   CN</v>
      </c>
      <c r="B792" t="str">
        <f>T("   Chine")</f>
        <v xml:space="preserve">   Chine</v>
      </c>
      <c r="C792">
        <v>16687500</v>
      </c>
      <c r="D792">
        <v>447750</v>
      </c>
    </row>
    <row r="793" spans="1:4" x14ac:dyDescent="0.25">
      <c r="A793" t="str">
        <f>T("   FR")</f>
        <v xml:space="preserve">   FR</v>
      </c>
      <c r="B793" t="str">
        <f>T("   France")</f>
        <v xml:space="preserve">   France</v>
      </c>
      <c r="C793">
        <v>500000</v>
      </c>
      <c r="D793">
        <v>22000</v>
      </c>
    </row>
    <row r="794" spans="1:4" x14ac:dyDescent="0.25">
      <c r="A794" t="str">
        <f>T("   GH")</f>
        <v xml:space="preserve">   GH</v>
      </c>
      <c r="B794" t="str">
        <f>T("   Ghana")</f>
        <v xml:space="preserve">   Ghana</v>
      </c>
      <c r="C794">
        <v>1000000</v>
      </c>
      <c r="D794">
        <v>20000</v>
      </c>
    </row>
    <row r="795" spans="1:4" x14ac:dyDescent="0.25">
      <c r="A795" t="str">
        <f>T("   GR")</f>
        <v xml:space="preserve">   GR</v>
      </c>
      <c r="B795" t="str">
        <f>T("   Grèce")</f>
        <v xml:space="preserve">   Grèce</v>
      </c>
      <c r="C795">
        <v>750000</v>
      </c>
      <c r="D795">
        <v>15000</v>
      </c>
    </row>
    <row r="796" spans="1:4" x14ac:dyDescent="0.25">
      <c r="A796" t="str">
        <f>T("   ID")</f>
        <v xml:space="preserve">   ID</v>
      </c>
      <c r="B796" t="str">
        <f>T("   Indonésie")</f>
        <v xml:space="preserve">   Indonésie</v>
      </c>
      <c r="C796">
        <v>17500000</v>
      </c>
      <c r="D796">
        <v>350000</v>
      </c>
    </row>
    <row r="797" spans="1:4" x14ac:dyDescent="0.25">
      <c r="A797" t="str">
        <f>T("   IN")</f>
        <v xml:space="preserve">   IN</v>
      </c>
      <c r="B797" t="str">
        <f>T("   Inde")</f>
        <v xml:space="preserve">   Inde</v>
      </c>
      <c r="C797">
        <v>147600000</v>
      </c>
      <c r="D797">
        <v>6247332</v>
      </c>
    </row>
    <row r="798" spans="1:4" x14ac:dyDescent="0.25">
      <c r="A798" t="str">
        <f>T("   VN")</f>
        <v xml:space="preserve">   VN</v>
      </c>
      <c r="B798" t="str">
        <f>T("   Vietnam")</f>
        <v xml:space="preserve">   Vietnam</v>
      </c>
      <c r="C798">
        <v>211750000</v>
      </c>
      <c r="D798">
        <v>4235000</v>
      </c>
    </row>
    <row r="799" spans="1:4" x14ac:dyDescent="0.25">
      <c r="A799" t="str">
        <f>T("720449")</f>
        <v>720449</v>
      </c>
      <c r="B799" t="str">
        <f>T("DÉCHETS ET DÉBRIS DE FER OU D'ACIER [FERRAILLES] (SAUF DÉCHETS ET DÉBRIS RADIOACTIFS ET DE PILES, DE BATTERIES DE PILES ET D'ACCUMULATEURS ÉLECTRIQUES; SCORIES, LAITIERS ET AUTRES DÉCHETS DE LA FABRICATION DU FER OU DE L'ACIER; MORCEAUX PROVENANT DU BRIS")</f>
        <v>DÉCHETS ET DÉBRIS DE FER OU D'ACIER [FERRAILLES] (SAUF DÉCHETS ET DÉBRIS RADIOACTIFS ET DE PILES, DE BATTERIES DE PILES ET D'ACCUMULATEURS ÉLECTRIQUES; SCORIES, LAITIERS ET AUTRES DÉCHETS DE LA FABRICATION DU FER OU DE L'ACIER; MORCEAUX PROVENANT DU BRIS</v>
      </c>
    </row>
    <row r="800" spans="1:4" x14ac:dyDescent="0.25">
      <c r="A800" t="str">
        <f>T("   ZZZ_Monde")</f>
        <v xml:space="preserve">   ZZZ_Monde</v>
      </c>
      <c r="B800" t="str">
        <f>T("   ZZZ_Monde")</f>
        <v xml:space="preserve">   ZZZ_Monde</v>
      </c>
      <c r="C800">
        <v>2811401500</v>
      </c>
      <c r="D800">
        <v>60762410</v>
      </c>
    </row>
    <row r="801" spans="1:4" x14ac:dyDescent="0.25">
      <c r="A801" t="str">
        <f>T("   AE")</f>
        <v xml:space="preserve">   AE</v>
      </c>
      <c r="B801" t="str">
        <f>T("   Emirats Arabes Unis")</f>
        <v xml:space="preserve">   Emirats Arabes Unis</v>
      </c>
      <c r="C801">
        <v>10950000</v>
      </c>
      <c r="D801">
        <v>219000</v>
      </c>
    </row>
    <row r="802" spans="1:4" x14ac:dyDescent="0.25">
      <c r="A802" t="str">
        <f>T("   BD")</f>
        <v xml:space="preserve">   BD</v>
      </c>
      <c r="B802" t="str">
        <f>T("   Bangladesh")</f>
        <v xml:space="preserve">   Bangladesh</v>
      </c>
      <c r="C802">
        <v>10500000</v>
      </c>
      <c r="D802">
        <v>210000</v>
      </c>
    </row>
    <row r="803" spans="1:4" x14ac:dyDescent="0.25">
      <c r="A803" t="str">
        <f>T("   BE")</f>
        <v xml:space="preserve">   BE</v>
      </c>
      <c r="B803" t="str">
        <f>T("   Belgique")</f>
        <v xml:space="preserve">   Belgique</v>
      </c>
      <c r="C803">
        <v>3000000</v>
      </c>
      <c r="D803">
        <v>60000</v>
      </c>
    </row>
    <row r="804" spans="1:4" x14ac:dyDescent="0.25">
      <c r="A804" t="str">
        <f>T("   CH")</f>
        <v xml:space="preserve">   CH</v>
      </c>
      <c r="B804" t="str">
        <f>T("   Suisse")</f>
        <v xml:space="preserve">   Suisse</v>
      </c>
      <c r="C804">
        <v>10750000</v>
      </c>
      <c r="D804">
        <v>215000</v>
      </c>
    </row>
    <row r="805" spans="1:4" x14ac:dyDescent="0.25">
      <c r="A805" t="str">
        <f>T("   CN")</f>
        <v xml:space="preserve">   CN</v>
      </c>
      <c r="B805" t="str">
        <f>T("   Chine")</f>
        <v xml:space="preserve">   Chine</v>
      </c>
      <c r="C805">
        <v>1872044500</v>
      </c>
      <c r="D805">
        <v>37767470</v>
      </c>
    </row>
    <row r="806" spans="1:4" x14ac:dyDescent="0.25">
      <c r="A806" t="str">
        <f>T("   ES")</f>
        <v xml:space="preserve">   ES</v>
      </c>
      <c r="B806" t="str">
        <f>T("   Espagne")</f>
        <v xml:space="preserve">   Espagne</v>
      </c>
      <c r="C806">
        <v>20250000</v>
      </c>
      <c r="D806">
        <v>405000</v>
      </c>
    </row>
    <row r="807" spans="1:4" x14ac:dyDescent="0.25">
      <c r="A807" t="str">
        <f>T("   GH")</f>
        <v xml:space="preserve">   GH</v>
      </c>
      <c r="B807" t="str">
        <f>T("   Ghana")</f>
        <v xml:space="preserve">   Ghana</v>
      </c>
      <c r="C807">
        <v>1500000</v>
      </c>
      <c r="D807">
        <v>30000</v>
      </c>
    </row>
    <row r="808" spans="1:4" x14ac:dyDescent="0.25">
      <c r="A808" t="str">
        <f>T("   GR")</f>
        <v xml:space="preserve">   GR</v>
      </c>
      <c r="B808" t="str">
        <f>T("   Grèce")</f>
        <v xml:space="preserve">   Grèce</v>
      </c>
      <c r="C808">
        <v>2000000</v>
      </c>
      <c r="D808">
        <v>40000</v>
      </c>
    </row>
    <row r="809" spans="1:4" x14ac:dyDescent="0.25">
      <c r="A809" t="str">
        <f>T("   ID")</f>
        <v xml:space="preserve">   ID</v>
      </c>
      <c r="B809" t="str">
        <f>T("   Indonésie")</f>
        <v xml:space="preserve">   Indonésie</v>
      </c>
      <c r="C809">
        <v>101250000</v>
      </c>
      <c r="D809">
        <v>2255000</v>
      </c>
    </row>
    <row r="810" spans="1:4" x14ac:dyDescent="0.25">
      <c r="A810" t="str">
        <f>T("   IN")</f>
        <v xml:space="preserve">   IN</v>
      </c>
      <c r="B810" t="str">
        <f>T("   Inde")</f>
        <v xml:space="preserve">   Inde</v>
      </c>
      <c r="C810">
        <v>611147000</v>
      </c>
      <c r="D810">
        <v>15762940</v>
      </c>
    </row>
    <row r="811" spans="1:4" x14ac:dyDescent="0.25">
      <c r="A811" t="str">
        <f>T("   IT")</f>
        <v xml:space="preserve">   IT</v>
      </c>
      <c r="B811" t="str">
        <f>T("   Italie")</f>
        <v xml:space="preserve">   Italie</v>
      </c>
      <c r="C811">
        <v>25500000</v>
      </c>
      <c r="D811">
        <v>510000</v>
      </c>
    </row>
    <row r="812" spans="1:4" x14ac:dyDescent="0.25">
      <c r="A812" t="str">
        <f>T("   KR")</f>
        <v xml:space="preserve">   KR</v>
      </c>
      <c r="B812" t="str">
        <f>T("   Corée, République de")</f>
        <v xml:space="preserve">   Corée, République de</v>
      </c>
      <c r="C812">
        <v>25250000</v>
      </c>
      <c r="D812">
        <v>535000</v>
      </c>
    </row>
    <row r="813" spans="1:4" x14ac:dyDescent="0.25">
      <c r="A813" t="str">
        <f>T("   MY")</f>
        <v xml:space="preserve">   MY</v>
      </c>
      <c r="B813" t="str">
        <f>T("   Malaisie")</f>
        <v xml:space="preserve">   Malaisie</v>
      </c>
      <c r="C813">
        <v>27500000</v>
      </c>
      <c r="D813">
        <v>900000</v>
      </c>
    </row>
    <row r="814" spans="1:4" x14ac:dyDescent="0.25">
      <c r="A814" t="str">
        <f>T("   NG")</f>
        <v xml:space="preserve">   NG</v>
      </c>
      <c r="B814" t="str">
        <f>T("   Nigéria")</f>
        <v xml:space="preserve">   Nigéria</v>
      </c>
      <c r="C814">
        <v>1000000</v>
      </c>
      <c r="D814">
        <v>20000</v>
      </c>
    </row>
    <row r="815" spans="1:4" x14ac:dyDescent="0.25">
      <c r="A815" t="str">
        <f>T("   NL")</f>
        <v xml:space="preserve">   NL</v>
      </c>
      <c r="B815" t="str">
        <f>T("   Pays-bas")</f>
        <v xml:space="preserve">   Pays-bas</v>
      </c>
      <c r="C815">
        <v>4750000</v>
      </c>
      <c r="D815">
        <v>95000</v>
      </c>
    </row>
    <row r="816" spans="1:4" x14ac:dyDescent="0.25">
      <c r="A816" t="str">
        <f>T("   PK")</f>
        <v xml:space="preserve">   PK</v>
      </c>
      <c r="B816" t="str">
        <f>T("   Pakistan")</f>
        <v xml:space="preserve">   Pakistan</v>
      </c>
      <c r="C816">
        <v>3500000</v>
      </c>
      <c r="D816">
        <v>70000</v>
      </c>
    </row>
    <row r="817" spans="1:4" x14ac:dyDescent="0.25">
      <c r="A817" t="str">
        <f>T("   SY")</f>
        <v xml:space="preserve">   SY</v>
      </c>
      <c r="B817" t="str">
        <f>T("   Syrienne, République arabe")</f>
        <v xml:space="preserve">   Syrienne, République arabe</v>
      </c>
      <c r="C817">
        <v>2510000</v>
      </c>
      <c r="D817">
        <v>48000</v>
      </c>
    </row>
    <row r="818" spans="1:4" x14ac:dyDescent="0.25">
      <c r="A818" t="str">
        <f>T("   TH")</f>
        <v xml:space="preserve">   TH</v>
      </c>
      <c r="B818" t="str">
        <f>T("   Thaïlande")</f>
        <v xml:space="preserve">   Thaïlande</v>
      </c>
      <c r="C818">
        <v>21500000</v>
      </c>
      <c r="D818">
        <v>430000</v>
      </c>
    </row>
    <row r="819" spans="1:4" x14ac:dyDescent="0.25">
      <c r="A819" t="str">
        <f>T("   VN")</f>
        <v xml:space="preserve">   VN</v>
      </c>
      <c r="B819" t="str">
        <f>T("   Vietnam")</f>
        <v xml:space="preserve">   Vietnam</v>
      </c>
      <c r="C819">
        <v>56500000</v>
      </c>
      <c r="D819">
        <v>1190000</v>
      </c>
    </row>
    <row r="820" spans="1:4" x14ac:dyDescent="0.25">
      <c r="A820" t="str">
        <f>T("720839")</f>
        <v>720839</v>
      </c>
      <c r="B820" t="str">
        <f>T("PRODUITS LAMINÉS PLATS, EN FER OU EN ACIERS NON ALLIÉS, D'UNE LARGEUR &gt;= 600 MM, ENROULÉS, SIMPLEMENT LAMINÉS À CHAUD, NON PLAQUÉS NI REVÊTUS, ÉPAISSEUR &lt; 3 MM (SANS MOTIFS EN RELIEF, ET AUTRES QUE DÉCAPÉS)")</f>
        <v>PRODUITS LAMINÉS PLATS, EN FER OU EN ACIERS NON ALLIÉS, D'UNE LARGEUR &gt;= 600 MM, ENROULÉS, SIMPLEMENT LAMINÉS À CHAUD, NON PLAQUÉS NI REVÊTUS, ÉPAISSEUR &lt; 3 MM (SANS MOTIFS EN RELIEF, ET AUTRES QUE DÉCAPÉS)</v>
      </c>
    </row>
    <row r="821" spans="1:4" x14ac:dyDescent="0.25">
      <c r="A821" t="str">
        <f>T("   ZZZ_Monde")</f>
        <v xml:space="preserve">   ZZZ_Monde</v>
      </c>
      <c r="B821" t="str">
        <f>T("   ZZZ_Monde")</f>
        <v xml:space="preserve">   ZZZ_Monde</v>
      </c>
      <c r="C821">
        <v>591101400</v>
      </c>
      <c r="D821">
        <v>1368000</v>
      </c>
    </row>
    <row r="822" spans="1:4" x14ac:dyDescent="0.25">
      <c r="A822" t="str">
        <f>T("   BF")</f>
        <v xml:space="preserve">   BF</v>
      </c>
      <c r="B822" t="str">
        <f>T("   Burkina Faso")</f>
        <v xml:space="preserve">   Burkina Faso</v>
      </c>
      <c r="C822">
        <v>129500000</v>
      </c>
      <c r="D822">
        <v>350000</v>
      </c>
    </row>
    <row r="823" spans="1:4" x14ac:dyDescent="0.25">
      <c r="A823" t="str">
        <f>T("   TD")</f>
        <v xml:space="preserve">   TD</v>
      </c>
      <c r="B823" t="str">
        <f>T("   Tchad")</f>
        <v xml:space="preserve">   Tchad</v>
      </c>
      <c r="C823">
        <v>269460000</v>
      </c>
      <c r="D823">
        <v>468000</v>
      </c>
    </row>
    <row r="824" spans="1:4" x14ac:dyDescent="0.25">
      <c r="A824" t="str">
        <f>T("   TG")</f>
        <v xml:space="preserve">   TG</v>
      </c>
      <c r="B824" t="str">
        <f>T("   Togo")</f>
        <v xml:space="preserve">   Togo</v>
      </c>
      <c r="C824">
        <v>192141400</v>
      </c>
      <c r="D824">
        <v>550000</v>
      </c>
    </row>
    <row r="825" spans="1:4" x14ac:dyDescent="0.25">
      <c r="A825" t="str">
        <f>T("720851")</f>
        <v>720851</v>
      </c>
      <c r="B825" t="str">
        <f>T("PRODUITS LAMINÉS PLATS, EN FER OU EN ACIERS NON-ALLIÉS, D'UNE LARGEUR &gt;= 600 MM, NON-ENROULÉS, SIMPL. LAMINÉS À CHAUD, NON-PLAQUÉS NI REVÊTUS, ÉPAISSEUR &gt; 10 MM (SANS MOTIFS EN RELIEF)")</f>
        <v>PRODUITS LAMINÉS PLATS, EN FER OU EN ACIERS NON-ALLIÉS, D'UNE LARGEUR &gt;= 600 MM, NON-ENROULÉS, SIMPL. LAMINÉS À CHAUD, NON-PLAQUÉS NI REVÊTUS, ÉPAISSEUR &gt; 10 MM (SANS MOTIFS EN RELIEF)</v>
      </c>
    </row>
    <row r="826" spans="1:4" x14ac:dyDescent="0.25">
      <c r="A826" t="str">
        <f>T("   ZZZ_Monde")</f>
        <v xml:space="preserve">   ZZZ_Monde</v>
      </c>
      <c r="B826" t="str">
        <f>T("   ZZZ_Monde")</f>
        <v xml:space="preserve">   ZZZ_Monde</v>
      </c>
      <c r="C826">
        <v>10994803</v>
      </c>
      <c r="D826">
        <v>40630</v>
      </c>
    </row>
    <row r="827" spans="1:4" x14ac:dyDescent="0.25">
      <c r="A827" t="str">
        <f>T("   BF")</f>
        <v xml:space="preserve">   BF</v>
      </c>
      <c r="B827" t="str">
        <f>T("   Burkina Faso")</f>
        <v xml:space="preserve">   Burkina Faso</v>
      </c>
      <c r="C827">
        <v>10994803</v>
      </c>
      <c r="D827">
        <v>40630</v>
      </c>
    </row>
    <row r="828" spans="1:4" x14ac:dyDescent="0.25">
      <c r="A828" t="str">
        <f>T("720890")</f>
        <v>720890</v>
      </c>
      <c r="B828" t="str">
        <f>T("PRODUITS LAMINÉS PLATS, EN FER OU EN ACIER, D'UNE LARGEUR &gt;= 600 MM, LAMINÉS À CHAUD ET AYANT SUBI CERTAINES OUVRAISONS PLUS POUSSÉES, MAIS NON-PLAQUÉS NI REVÊTUS")</f>
        <v>PRODUITS LAMINÉS PLATS, EN FER OU EN ACIER, D'UNE LARGEUR &gt;= 600 MM, LAMINÉS À CHAUD ET AYANT SUBI CERTAINES OUVRAISONS PLUS POUSSÉES, MAIS NON-PLAQUÉS NI REVÊTUS</v>
      </c>
    </row>
    <row r="829" spans="1:4" x14ac:dyDescent="0.25">
      <c r="A829" t="str">
        <f>T("   ZZZ_Monde")</f>
        <v xml:space="preserve">   ZZZ_Monde</v>
      </c>
      <c r="B829" t="str">
        <f>T("   ZZZ_Monde")</f>
        <v xml:space="preserve">   ZZZ_Monde</v>
      </c>
      <c r="C829">
        <v>2773813</v>
      </c>
      <c r="D829">
        <v>875</v>
      </c>
    </row>
    <row r="830" spans="1:4" x14ac:dyDescent="0.25">
      <c r="A830" t="str">
        <f>T("   TG")</f>
        <v xml:space="preserve">   TG</v>
      </c>
      <c r="B830" t="str">
        <f>T("   Togo")</f>
        <v xml:space="preserve">   Togo</v>
      </c>
      <c r="C830">
        <v>2773813</v>
      </c>
      <c r="D830">
        <v>875</v>
      </c>
    </row>
    <row r="831" spans="1:4" x14ac:dyDescent="0.25">
      <c r="A831" t="str">
        <f>T("720916")</f>
        <v>720916</v>
      </c>
      <c r="B831" t="str">
        <f>T("PRODUITS LAMINÉS PLATS, EN FER OU EN ACIERS NON-ALLIÉS, D'UNE LARGEUR &gt;= 600 MM, NON-PLAQUÉS NI REVÊTUS, ENROULÉS, SIMPL. LAMINÉS À FROID, D'UNE ÉPAISSEUR &gt; 1 MM MAIS &lt; 3 MM")</f>
        <v>PRODUITS LAMINÉS PLATS, EN FER OU EN ACIERS NON-ALLIÉS, D'UNE LARGEUR &gt;= 600 MM, NON-PLAQUÉS NI REVÊTUS, ENROULÉS, SIMPL. LAMINÉS À FROID, D'UNE ÉPAISSEUR &gt; 1 MM MAIS &lt; 3 MM</v>
      </c>
    </row>
    <row r="832" spans="1:4" x14ac:dyDescent="0.25">
      <c r="A832" t="str">
        <f>T("   ZZZ_Monde")</f>
        <v xml:space="preserve">   ZZZ_Monde</v>
      </c>
      <c r="B832" t="str">
        <f>T("   ZZZ_Monde")</f>
        <v xml:space="preserve">   ZZZ_Monde</v>
      </c>
      <c r="C832">
        <v>105526720</v>
      </c>
      <c r="D832">
        <v>197012</v>
      </c>
    </row>
    <row r="833" spans="1:4" x14ac:dyDescent="0.25">
      <c r="A833" t="str">
        <f>T("   TD")</f>
        <v xml:space="preserve">   TD</v>
      </c>
      <c r="B833" t="str">
        <f>T("   Tchad")</f>
        <v xml:space="preserve">   Tchad</v>
      </c>
      <c r="C833">
        <v>105526720</v>
      </c>
      <c r="D833">
        <v>197012</v>
      </c>
    </row>
    <row r="834" spans="1:4" x14ac:dyDescent="0.25">
      <c r="A834" t="str">
        <f>T("720917")</f>
        <v>720917</v>
      </c>
      <c r="B834" t="str">
        <f>T("PRODUITS LAMINÉS PLATS, EN FER OU EN ACIERS NON-ALLIÉS, D'UNE LARGEUR &gt;= 600 MM, NON-PLAQUÉS NI REVÊTUS, ENROULÉS, SIMPL. LAMINÉS À FROID, D'UNE ÉPAISSEUR &gt;= 0,5 MM MAIS &lt;= 1 MM")</f>
        <v>PRODUITS LAMINÉS PLATS, EN FER OU EN ACIERS NON-ALLIÉS, D'UNE LARGEUR &gt;= 600 MM, NON-PLAQUÉS NI REVÊTUS, ENROULÉS, SIMPL. LAMINÉS À FROID, D'UNE ÉPAISSEUR &gt;= 0,5 MM MAIS &lt;= 1 MM</v>
      </c>
    </row>
    <row r="835" spans="1:4" x14ac:dyDescent="0.25">
      <c r="A835" t="str">
        <f>T("   ZZZ_Monde")</f>
        <v xml:space="preserve">   ZZZ_Monde</v>
      </c>
      <c r="B835" t="str">
        <f>T("   ZZZ_Monde")</f>
        <v xml:space="preserve">   ZZZ_Monde</v>
      </c>
      <c r="C835">
        <v>89473280</v>
      </c>
      <c r="D835">
        <v>142988</v>
      </c>
    </row>
    <row r="836" spans="1:4" x14ac:dyDescent="0.25">
      <c r="A836" t="str">
        <f>T("   TD")</f>
        <v xml:space="preserve">   TD</v>
      </c>
      <c r="B836" t="str">
        <f>T("   Tchad")</f>
        <v xml:space="preserve">   Tchad</v>
      </c>
      <c r="C836">
        <v>89473280</v>
      </c>
      <c r="D836">
        <v>142988</v>
      </c>
    </row>
    <row r="837" spans="1:4" x14ac:dyDescent="0.25">
      <c r="A837" t="str">
        <f>T("720990")</f>
        <v>720990</v>
      </c>
      <c r="B837" t="str">
        <f>T("PRODUITS LAMINÉS PLATS, EN FER OU EN ACIER, D'UNE LARGEUR &gt;= 600 MM, LAMINÉS À FROID ET AYANT SUBI CERTAINES OUVRAISONS PLUS POUSSÉES, MAIS NON-PLAQUÉS NI REVÊTUS")</f>
        <v>PRODUITS LAMINÉS PLATS, EN FER OU EN ACIER, D'UNE LARGEUR &gt;= 600 MM, LAMINÉS À FROID ET AYANT SUBI CERTAINES OUVRAISONS PLUS POUSSÉES, MAIS NON-PLAQUÉS NI REVÊTUS</v>
      </c>
    </row>
    <row r="838" spans="1:4" x14ac:dyDescent="0.25">
      <c r="A838" t="str">
        <f>T("   ZZZ_Monde")</f>
        <v xml:space="preserve">   ZZZ_Monde</v>
      </c>
      <c r="B838" t="str">
        <f>T("   ZZZ_Monde")</f>
        <v xml:space="preserve">   ZZZ_Monde</v>
      </c>
      <c r="C838">
        <v>174900000</v>
      </c>
      <c r="D838">
        <v>321665</v>
      </c>
    </row>
    <row r="839" spans="1:4" x14ac:dyDescent="0.25">
      <c r="A839" t="str">
        <f>T("   NG")</f>
        <v xml:space="preserve">   NG</v>
      </c>
      <c r="B839" t="str">
        <f>T("   Nigéria")</f>
        <v xml:space="preserve">   Nigéria</v>
      </c>
      <c r="C839">
        <v>49500000</v>
      </c>
      <c r="D839">
        <v>93665</v>
      </c>
    </row>
    <row r="840" spans="1:4" x14ac:dyDescent="0.25">
      <c r="A840" t="str">
        <f>T("   TD")</f>
        <v xml:space="preserve">   TD</v>
      </c>
      <c r="B840" t="str">
        <f>T("   Tchad")</f>
        <v xml:space="preserve">   Tchad</v>
      </c>
      <c r="C840">
        <v>125400000</v>
      </c>
      <c r="D840">
        <v>228000</v>
      </c>
    </row>
    <row r="841" spans="1:4" x14ac:dyDescent="0.25">
      <c r="A841" t="str">
        <f>T("721041")</f>
        <v>721041</v>
      </c>
      <c r="B841" t="str">
        <f>T("Produits laminés plats, en fer ou en aciers non alliés, d'une largeur &gt;= 600 mm, laminés à chaud ou à froid, zingués, ondulés (à l'excl. des produits zingués électrolytiquement)")</f>
        <v>Produits laminés plats, en fer ou en aciers non alliés, d'une largeur &gt;= 600 mm, laminés à chaud ou à froid, zingués, ondulés (à l'excl. des produits zingués électrolytiquement)</v>
      </c>
    </row>
    <row r="842" spans="1:4" x14ac:dyDescent="0.25">
      <c r="A842" t="str">
        <f>T("   ZZZ_Monde")</f>
        <v xml:space="preserve">   ZZZ_Monde</v>
      </c>
      <c r="B842" t="str">
        <f>T("   ZZZ_Monde")</f>
        <v xml:space="preserve">   ZZZ_Monde</v>
      </c>
      <c r="C842">
        <v>9771800</v>
      </c>
      <c r="D842">
        <v>19135</v>
      </c>
    </row>
    <row r="843" spans="1:4" x14ac:dyDescent="0.25">
      <c r="A843" t="str">
        <f>T("   BF")</f>
        <v xml:space="preserve">   BF</v>
      </c>
      <c r="B843" t="str">
        <f>T("   Burkina Faso")</f>
        <v xml:space="preserve">   Burkina Faso</v>
      </c>
      <c r="C843">
        <v>6960000</v>
      </c>
      <c r="D843">
        <v>15000</v>
      </c>
    </row>
    <row r="844" spans="1:4" x14ac:dyDescent="0.25">
      <c r="A844" t="str">
        <f>T("   TD")</f>
        <v xml:space="preserve">   TD</v>
      </c>
      <c r="B844" t="str">
        <f>T("   Tchad")</f>
        <v xml:space="preserve">   Tchad</v>
      </c>
      <c r="C844">
        <v>2811800</v>
      </c>
      <c r="D844">
        <v>4135</v>
      </c>
    </row>
    <row r="845" spans="1:4" x14ac:dyDescent="0.25">
      <c r="A845" t="str">
        <f>T("721049")</f>
        <v>721049</v>
      </c>
      <c r="B845" t="str">
        <f>T("Produits laminés plats, en fer ou en aciers non alliés, d'une largeur &gt;= 600 mm, laminés à chaud ou à froid, zingués, non ondulés (à l'excl. des produits zingués électrolytiquement)")</f>
        <v>Produits laminés plats, en fer ou en aciers non alliés, d'une largeur &gt;= 600 mm, laminés à chaud ou à froid, zingués, non ondulés (à l'excl. des produits zingués électrolytiquement)</v>
      </c>
    </row>
    <row r="846" spans="1:4" x14ac:dyDescent="0.25">
      <c r="A846" t="str">
        <f>T("   ZZZ_Monde")</f>
        <v xml:space="preserve">   ZZZ_Monde</v>
      </c>
      <c r="B846" t="str">
        <f>T("   ZZZ_Monde")</f>
        <v xml:space="preserve">   ZZZ_Monde</v>
      </c>
      <c r="C846">
        <v>34227230</v>
      </c>
      <c r="D846">
        <v>62000</v>
      </c>
    </row>
    <row r="847" spans="1:4" x14ac:dyDescent="0.25">
      <c r="A847" t="str">
        <f>T("   BF")</f>
        <v xml:space="preserve">   BF</v>
      </c>
      <c r="B847" t="str">
        <f>T("   Burkina Faso")</f>
        <v xml:space="preserve">   Burkina Faso</v>
      </c>
      <c r="C847">
        <v>11600000</v>
      </c>
      <c r="D847">
        <v>25000</v>
      </c>
    </row>
    <row r="848" spans="1:4" x14ac:dyDescent="0.25">
      <c r="A848" t="str">
        <f>T("   TD")</f>
        <v xml:space="preserve">   TD</v>
      </c>
      <c r="B848" t="str">
        <f>T("   Tchad")</f>
        <v xml:space="preserve">   Tchad</v>
      </c>
      <c r="C848">
        <v>22627230</v>
      </c>
      <c r="D848">
        <v>37000</v>
      </c>
    </row>
    <row r="849" spans="1:4" x14ac:dyDescent="0.25">
      <c r="A849" t="str">
        <f>T("721391")</f>
        <v>721391</v>
      </c>
      <c r="B849" t="str">
        <f>T("FIL MACHINE EN FER OU ACIERS NON-ALLIÉS, ENROULÉ EN COURONNES IRRÉGULIÈRES, DE SECTION CIRCULAIRE DE DIAMÈTRE &lt; 14 MM (AUTRE QU'EN ACIERS DE DÉCOLLETAGE ET AUTRE QUE FIL MACHINE AVEC INDENTATIONS, BOURRELETS, CREUX OU RELIEFS OBTENUS LORS DU LAMINAGE)")</f>
        <v>FIL MACHINE EN FER OU ACIERS NON-ALLIÉS, ENROULÉ EN COURONNES IRRÉGULIÈRES, DE SECTION CIRCULAIRE DE DIAMÈTRE &lt; 14 MM (AUTRE QU'EN ACIERS DE DÉCOLLETAGE ET AUTRE QUE FIL MACHINE AVEC INDENTATIONS, BOURRELETS, CREUX OU RELIEFS OBTENUS LORS DU LAMINAGE)</v>
      </c>
    </row>
    <row r="850" spans="1:4" x14ac:dyDescent="0.25">
      <c r="A850" t="str">
        <f>T("   ZZZ_Monde")</f>
        <v xml:space="preserve">   ZZZ_Monde</v>
      </c>
      <c r="B850" t="str">
        <f>T("   ZZZ_Monde")</f>
        <v xml:space="preserve">   ZZZ_Monde</v>
      </c>
      <c r="C850">
        <v>7304807482</v>
      </c>
      <c r="D850">
        <v>20086738</v>
      </c>
    </row>
    <row r="851" spans="1:4" x14ac:dyDescent="0.25">
      <c r="A851" t="str">
        <f>T("   BF")</f>
        <v xml:space="preserve">   BF</v>
      </c>
      <c r="B851" t="str">
        <f>T("   Burkina Faso")</f>
        <v xml:space="preserve">   Burkina Faso</v>
      </c>
      <c r="C851">
        <v>127199803</v>
      </c>
      <c r="D851">
        <v>350304</v>
      </c>
    </row>
    <row r="852" spans="1:4" x14ac:dyDescent="0.25">
      <c r="A852" t="str">
        <f>T("   CN")</f>
        <v xml:space="preserve">   CN</v>
      </c>
      <c r="B852" t="str">
        <f>T("   Chine")</f>
        <v xml:space="preserve">   Chine</v>
      </c>
      <c r="C852">
        <v>95805662</v>
      </c>
      <c r="D852">
        <v>147524</v>
      </c>
    </row>
    <row r="853" spans="1:4" x14ac:dyDescent="0.25">
      <c r="A853" t="str">
        <f>T("   NE")</f>
        <v xml:space="preserve">   NE</v>
      </c>
      <c r="B853" t="str">
        <f>T("   Niger")</f>
        <v xml:space="preserve">   Niger</v>
      </c>
      <c r="C853">
        <v>59151579</v>
      </c>
      <c r="D853">
        <v>180000</v>
      </c>
    </row>
    <row r="854" spans="1:4" x14ac:dyDescent="0.25">
      <c r="A854" t="str">
        <f>T("   NG")</f>
        <v xml:space="preserve">   NG</v>
      </c>
      <c r="B854" t="str">
        <f>T("   Nigéria")</f>
        <v xml:space="preserve">   Nigéria</v>
      </c>
      <c r="C854">
        <v>341340808</v>
      </c>
      <c r="D854">
        <v>905000</v>
      </c>
    </row>
    <row r="855" spans="1:4" x14ac:dyDescent="0.25">
      <c r="A855" t="str">
        <f>T("   TD")</f>
        <v xml:space="preserve">   TD</v>
      </c>
      <c r="B855" t="str">
        <f>T("   Tchad")</f>
        <v xml:space="preserve">   Tchad</v>
      </c>
      <c r="C855">
        <v>6545892418</v>
      </c>
      <c r="D855">
        <v>18103250</v>
      </c>
    </row>
    <row r="856" spans="1:4" x14ac:dyDescent="0.25">
      <c r="A856" t="str">
        <f>T("   TG")</f>
        <v xml:space="preserve">   TG</v>
      </c>
      <c r="B856" t="str">
        <f>T("   Togo")</f>
        <v xml:space="preserve">   Togo</v>
      </c>
      <c r="C856">
        <v>135417212</v>
      </c>
      <c r="D856">
        <v>400660</v>
      </c>
    </row>
    <row r="857" spans="1:4" x14ac:dyDescent="0.25">
      <c r="A857" t="str">
        <f>T("721399")</f>
        <v>721399</v>
      </c>
      <c r="B857" t="str">
        <f>T("FIL MACHINE EN FER OU ACIERS NON-ALLIÉS, ENROULÉ EN COURONNES IRRÉGULIÈRES (AUTRE QUE DE SECTION CIRCULAIRE DE DIAMÈTRE &lt; 14 MM, AUTRE QUE FIL MACHINE EN ACIERS DE DÉCOLLETAGE, OU AVEC INDENTATIONS, BOURRELETS, CREUX OU RELIEFS OBTENUS LORS DU LAMINAGE)")</f>
        <v>FIL MACHINE EN FER OU ACIERS NON-ALLIÉS, ENROULÉ EN COURONNES IRRÉGULIÈRES (AUTRE QUE DE SECTION CIRCULAIRE DE DIAMÈTRE &lt; 14 MM, AUTRE QUE FIL MACHINE EN ACIERS DE DÉCOLLETAGE, OU AVEC INDENTATIONS, BOURRELETS, CREUX OU RELIEFS OBTENUS LORS DU LAMINAGE)</v>
      </c>
    </row>
    <row r="858" spans="1:4" x14ac:dyDescent="0.25">
      <c r="A858" t="str">
        <f>T("   ZZZ_Monde")</f>
        <v xml:space="preserve">   ZZZ_Monde</v>
      </c>
      <c r="B858" t="str">
        <f>T("   ZZZ_Monde")</f>
        <v xml:space="preserve">   ZZZ_Monde</v>
      </c>
      <c r="C858">
        <v>1475159848</v>
      </c>
      <c r="D858">
        <v>3622000</v>
      </c>
    </row>
    <row r="859" spans="1:4" x14ac:dyDescent="0.25">
      <c r="A859" t="str">
        <f>T("   TD")</f>
        <v xml:space="preserve">   TD</v>
      </c>
      <c r="B859" t="str">
        <f>T("   Tchad")</f>
        <v xml:space="preserve">   Tchad</v>
      </c>
      <c r="C859">
        <v>1475159848</v>
      </c>
      <c r="D859">
        <v>3622000</v>
      </c>
    </row>
    <row r="860" spans="1:4" x14ac:dyDescent="0.25">
      <c r="A860" t="str">
        <f>T("721420")</f>
        <v>721420</v>
      </c>
      <c r="B860" t="str">
        <f>T("BARRES EN FER OU EN ACIERS NON ALLIÉS, COMPORTANT DES INDENTATIONS, BOURRELETS, CREUX OU RELIEFS OBTENUS AU COURS DU LAMINAGE OU AYANT SUBI UNE TORSION APRÈS LAMINAGE")</f>
        <v>BARRES EN FER OU EN ACIERS NON ALLIÉS, COMPORTANT DES INDENTATIONS, BOURRELETS, CREUX OU RELIEFS OBTENUS AU COURS DU LAMINAGE OU AYANT SUBI UNE TORSION APRÈS LAMINAGE</v>
      </c>
    </row>
    <row r="861" spans="1:4" x14ac:dyDescent="0.25">
      <c r="A861" t="str">
        <f>T("   ZZZ_Monde")</f>
        <v xml:space="preserve">   ZZZ_Monde</v>
      </c>
      <c r="B861" t="str">
        <f>T("   ZZZ_Monde")</f>
        <v xml:space="preserve">   ZZZ_Monde</v>
      </c>
      <c r="C861">
        <v>52879215</v>
      </c>
      <c r="D861">
        <v>74327</v>
      </c>
    </row>
    <row r="862" spans="1:4" x14ac:dyDescent="0.25">
      <c r="A862" t="str">
        <f>T("   CN")</f>
        <v xml:space="preserve">   CN</v>
      </c>
      <c r="B862" t="str">
        <f>T("   Chine")</f>
        <v xml:space="preserve">   Chine</v>
      </c>
      <c r="C862">
        <v>52879215</v>
      </c>
      <c r="D862">
        <v>74327</v>
      </c>
    </row>
    <row r="863" spans="1:4" x14ac:dyDescent="0.25">
      <c r="A863" t="str">
        <f>T("721499")</f>
        <v>721499</v>
      </c>
      <c r="B863" t="str">
        <f>T("BARRES EN FER OU EN ACIERS NON-ALLIÉS, SIMPL. LAMINÉES OU FILÉES À CHAUD (À L'EXCL. DE SECTION TRANSVERSALE RECTANGULAIRE, DES BARRES COMPORTANT DES INDENTATIONS, BOURRELETS, CREUX OU RELIEFS OBTENUS AU COURS DU LAMINAGE OU AYANT SUBI UNE TORSION APRÈS LA")</f>
        <v>BARRES EN FER OU EN ACIERS NON-ALLIÉS, SIMPL. LAMINÉES OU FILÉES À CHAUD (À L'EXCL. DE SECTION TRANSVERSALE RECTANGULAIRE, DES BARRES COMPORTANT DES INDENTATIONS, BOURRELETS, CREUX OU RELIEFS OBTENUS AU COURS DU LAMINAGE OU AYANT SUBI UNE TORSION APRÈS LA</v>
      </c>
    </row>
    <row r="864" spans="1:4" x14ac:dyDescent="0.25">
      <c r="A864" t="str">
        <f>T("   ZZZ_Monde")</f>
        <v xml:space="preserve">   ZZZ_Monde</v>
      </c>
      <c r="B864" t="str">
        <f>T("   ZZZ_Monde")</f>
        <v xml:space="preserve">   ZZZ_Monde</v>
      </c>
      <c r="C864">
        <v>3450000</v>
      </c>
      <c r="D864">
        <v>23000</v>
      </c>
    </row>
    <row r="865" spans="1:4" x14ac:dyDescent="0.25">
      <c r="A865" t="str">
        <f>T("   IN")</f>
        <v xml:space="preserve">   IN</v>
      </c>
      <c r="B865" t="str">
        <f>T("   Inde")</f>
        <v xml:space="preserve">   Inde</v>
      </c>
      <c r="C865">
        <v>3450000</v>
      </c>
      <c r="D865">
        <v>23000</v>
      </c>
    </row>
    <row r="866" spans="1:4" x14ac:dyDescent="0.25">
      <c r="A866" t="str">
        <f>T("721590")</f>
        <v>721590</v>
      </c>
      <c r="B866" t="str">
        <f>T("Barres en fer ou en aciers non alliés, obtenues ou parachevées à froid et ayant subi certaines ouvraisons plus poussées ou obtenues à chaud et ayant subi certaines ouvraisons plus poussées, n.d.a.")</f>
        <v>Barres en fer ou en aciers non alliés, obtenues ou parachevées à froid et ayant subi certaines ouvraisons plus poussées ou obtenues à chaud et ayant subi certaines ouvraisons plus poussées, n.d.a.</v>
      </c>
    </row>
    <row r="867" spans="1:4" x14ac:dyDescent="0.25">
      <c r="A867" t="str">
        <f>T("   ZZZ_Monde")</f>
        <v xml:space="preserve">   ZZZ_Monde</v>
      </c>
      <c r="B867" t="str">
        <f>T("   ZZZ_Monde")</f>
        <v xml:space="preserve">   ZZZ_Monde</v>
      </c>
      <c r="C867">
        <v>11753952530</v>
      </c>
      <c r="D867">
        <v>31135000</v>
      </c>
    </row>
    <row r="868" spans="1:4" x14ac:dyDescent="0.25">
      <c r="A868" t="str">
        <f>T("   GH")</f>
        <v xml:space="preserve">   GH</v>
      </c>
      <c r="B868" t="str">
        <f>T("   Ghana")</f>
        <v xml:space="preserve">   Ghana</v>
      </c>
      <c r="C868">
        <v>41300000</v>
      </c>
      <c r="D868">
        <v>140000</v>
      </c>
    </row>
    <row r="869" spans="1:4" x14ac:dyDescent="0.25">
      <c r="A869" t="str">
        <f>T("   ML")</f>
        <v xml:space="preserve">   ML</v>
      </c>
      <c r="B869" t="str">
        <f>T("   Mali")</f>
        <v xml:space="preserve">   Mali</v>
      </c>
      <c r="C869">
        <v>53570000</v>
      </c>
      <c r="D869">
        <v>134000</v>
      </c>
    </row>
    <row r="870" spans="1:4" x14ac:dyDescent="0.25">
      <c r="A870" t="str">
        <f>T("   NE")</f>
        <v xml:space="preserve">   NE</v>
      </c>
      <c r="B870" t="str">
        <f>T("   Niger")</f>
        <v xml:space="preserve">   Niger</v>
      </c>
      <c r="C870">
        <v>3449210030</v>
      </c>
      <c r="D870">
        <v>12030000</v>
      </c>
    </row>
    <row r="871" spans="1:4" x14ac:dyDescent="0.25">
      <c r="A871" t="str">
        <f>T("   NG")</f>
        <v xml:space="preserve">   NG</v>
      </c>
      <c r="B871" t="str">
        <f>T("   Nigéria")</f>
        <v xml:space="preserve">   Nigéria</v>
      </c>
      <c r="C871">
        <v>169050000</v>
      </c>
      <c r="D871">
        <v>465000</v>
      </c>
    </row>
    <row r="872" spans="1:4" x14ac:dyDescent="0.25">
      <c r="A872" t="str">
        <f>T("   TD")</f>
        <v xml:space="preserve">   TD</v>
      </c>
      <c r="B872" t="str">
        <f>T("   Tchad")</f>
        <v xml:space="preserve">   Tchad</v>
      </c>
      <c r="C872">
        <v>8040822500</v>
      </c>
      <c r="D872">
        <v>18366000</v>
      </c>
    </row>
    <row r="873" spans="1:4" x14ac:dyDescent="0.25">
      <c r="A873" t="str">
        <f>T("721720")</f>
        <v>721720</v>
      </c>
      <c r="B873" t="str">
        <f>T("FILS EN FER OU EN ACIERS NON-ALLIÉS, ENROULÉS, ZINGUÉS (À L'EXCL. DU FIL MACHINE)")</f>
        <v>FILS EN FER OU EN ACIERS NON-ALLIÉS, ENROULÉS, ZINGUÉS (À L'EXCL. DU FIL MACHINE)</v>
      </c>
    </row>
    <row r="874" spans="1:4" x14ac:dyDescent="0.25">
      <c r="A874" t="str">
        <f>T("   ZZZ_Monde")</f>
        <v xml:space="preserve">   ZZZ_Monde</v>
      </c>
      <c r="B874" t="str">
        <f>T("   ZZZ_Monde")</f>
        <v xml:space="preserve">   ZZZ_Monde</v>
      </c>
      <c r="C874">
        <v>374288209</v>
      </c>
      <c r="D874">
        <v>919000</v>
      </c>
    </row>
    <row r="875" spans="1:4" x14ac:dyDescent="0.25">
      <c r="A875" t="str">
        <f>T("   TD")</f>
        <v xml:space="preserve">   TD</v>
      </c>
      <c r="B875" t="str">
        <f>T("   Tchad")</f>
        <v xml:space="preserve">   Tchad</v>
      </c>
      <c r="C875">
        <v>374288209</v>
      </c>
      <c r="D875">
        <v>919000</v>
      </c>
    </row>
    <row r="876" spans="1:4" x14ac:dyDescent="0.25">
      <c r="A876" t="str">
        <f>T("721730")</f>
        <v>721730</v>
      </c>
      <c r="B876" t="str">
        <f>T("FILS EN FER OU EN ACIERS NON-ALLIÉS, ENROULÉS, REVÊTUS DE MÉTAUX COMMUNS (À L'EXCL. DES FILS ZINGUÉS AINSI QUE DU FIL MACHINE)")</f>
        <v>FILS EN FER OU EN ACIERS NON-ALLIÉS, ENROULÉS, REVÊTUS DE MÉTAUX COMMUNS (À L'EXCL. DES FILS ZINGUÉS AINSI QUE DU FIL MACHINE)</v>
      </c>
    </row>
    <row r="877" spans="1:4" x14ac:dyDescent="0.25">
      <c r="A877" t="str">
        <f>T("   ZZZ_Monde")</f>
        <v xml:space="preserve">   ZZZ_Monde</v>
      </c>
      <c r="B877" t="str">
        <f>T("   ZZZ_Monde")</f>
        <v xml:space="preserve">   ZZZ_Monde</v>
      </c>
      <c r="C877">
        <v>25087188</v>
      </c>
      <c r="D877">
        <v>60479</v>
      </c>
    </row>
    <row r="878" spans="1:4" x14ac:dyDescent="0.25">
      <c r="A878" t="str">
        <f>T("   CN")</f>
        <v xml:space="preserve">   CN</v>
      </c>
      <c r="B878" t="str">
        <f>T("   Chine")</f>
        <v xml:space="preserve">   Chine</v>
      </c>
      <c r="C878">
        <v>25087188</v>
      </c>
      <c r="D878">
        <v>60479</v>
      </c>
    </row>
    <row r="879" spans="1:4" x14ac:dyDescent="0.25">
      <c r="A879" t="str">
        <f>T("721790")</f>
        <v>721790</v>
      </c>
      <c r="B879" t="str">
        <f>T("FILS EN FER OU EN ACIERS NON-ALLIÉS, ENROULÉS, REVÊTUS (À L'EXCL. DU FIL MACHINE AINSI QUE DES FILS REVÊTUS DE MÉTAUX COMMUNS)")</f>
        <v>FILS EN FER OU EN ACIERS NON-ALLIÉS, ENROULÉS, REVÊTUS (À L'EXCL. DU FIL MACHINE AINSI QUE DES FILS REVÊTUS DE MÉTAUX COMMUNS)</v>
      </c>
    </row>
    <row r="880" spans="1:4" x14ac:dyDescent="0.25">
      <c r="A880" t="str">
        <f>T("   ZZZ_Monde")</f>
        <v xml:space="preserve">   ZZZ_Monde</v>
      </c>
      <c r="B880" t="str">
        <f>T("   ZZZ_Monde")</f>
        <v xml:space="preserve">   ZZZ_Monde</v>
      </c>
      <c r="C880">
        <v>61630140</v>
      </c>
      <c r="D880">
        <v>124949</v>
      </c>
    </row>
    <row r="881" spans="1:4" x14ac:dyDescent="0.25">
      <c r="A881" t="str">
        <f>T("   CN")</f>
        <v xml:space="preserve">   CN</v>
      </c>
      <c r="B881" t="str">
        <f>T("   Chine")</f>
        <v xml:space="preserve">   Chine</v>
      </c>
      <c r="C881">
        <v>16210417</v>
      </c>
      <c r="D881">
        <v>35106</v>
      </c>
    </row>
    <row r="882" spans="1:4" x14ac:dyDescent="0.25">
      <c r="A882" t="str">
        <f>T("   ID")</f>
        <v xml:space="preserve">   ID</v>
      </c>
      <c r="B882" t="str">
        <f>T("   Indonésie")</f>
        <v xml:space="preserve">   Indonésie</v>
      </c>
      <c r="C882">
        <v>21629723</v>
      </c>
      <c r="D882">
        <v>46843</v>
      </c>
    </row>
    <row r="883" spans="1:4" x14ac:dyDescent="0.25">
      <c r="A883" t="str">
        <f>T("   TD")</f>
        <v xml:space="preserve">   TD</v>
      </c>
      <c r="B883" t="str">
        <f>T("   Tchad")</f>
        <v xml:space="preserve">   Tchad</v>
      </c>
      <c r="C883">
        <v>23790000</v>
      </c>
      <c r="D883">
        <v>43000</v>
      </c>
    </row>
    <row r="884" spans="1:4" x14ac:dyDescent="0.25">
      <c r="A884" t="str">
        <f>T("730429")</f>
        <v>730429</v>
      </c>
      <c r="B884" t="str">
        <f>T("Tubes et tuyaux de cuvelage ou de production sans soudure, en fer (à l'excl. de la fonte) ou en acier, des types utilisés pour l'extraction du pétrole ou du gaz")</f>
        <v>Tubes et tuyaux de cuvelage ou de production sans soudure, en fer (à l'excl. de la fonte) ou en acier, des types utilisés pour l'extraction du pétrole ou du gaz</v>
      </c>
    </row>
    <row r="885" spans="1:4" x14ac:dyDescent="0.25">
      <c r="A885" t="str">
        <f>T("   ZZZ_Monde")</f>
        <v xml:space="preserve">   ZZZ_Monde</v>
      </c>
      <c r="B885" t="str">
        <f>T("   ZZZ_Monde")</f>
        <v xml:space="preserve">   ZZZ_Monde</v>
      </c>
      <c r="C885">
        <v>1845498</v>
      </c>
      <c r="D885">
        <v>1000</v>
      </c>
    </row>
    <row r="886" spans="1:4" x14ac:dyDescent="0.25">
      <c r="A886" t="str">
        <f>T("   NG")</f>
        <v xml:space="preserve">   NG</v>
      </c>
      <c r="B886" t="str">
        <f>T("   Nigéria")</f>
        <v xml:space="preserve">   Nigéria</v>
      </c>
      <c r="C886">
        <v>1845498</v>
      </c>
      <c r="D886">
        <v>1000</v>
      </c>
    </row>
    <row r="887" spans="1:4" x14ac:dyDescent="0.25">
      <c r="A887" t="str">
        <f>T("730449")</f>
        <v>730449</v>
      </c>
      <c r="B887" t="str">
        <f>T("TUBES, TUYAUX ET PROFILÉS CREUX, SANS SOUDURE, DE SECTION CIRCULAIRE, EN ACIERS INOXYDABLES, NON-ÉTIRÉS OU LAMINÉS À FROID (AUTRES QUE LES TUBES DES TYPES UTILISÉS POUR LES OLÉODUCS OU LES GAZODUCS OU POUR L'EXTRACTION DU PÉTROLE OU DU GAZ)")</f>
        <v>TUBES, TUYAUX ET PROFILÉS CREUX, SANS SOUDURE, DE SECTION CIRCULAIRE, EN ACIERS INOXYDABLES, NON-ÉTIRÉS OU LAMINÉS À FROID (AUTRES QUE LES TUBES DES TYPES UTILISÉS POUR LES OLÉODUCS OU LES GAZODUCS OU POUR L'EXTRACTION DU PÉTROLE OU DU GAZ)</v>
      </c>
    </row>
    <row r="888" spans="1:4" x14ac:dyDescent="0.25">
      <c r="A888" t="str">
        <f>T("   ZZZ_Monde")</f>
        <v xml:space="preserve">   ZZZ_Monde</v>
      </c>
      <c r="B888" t="str">
        <f>T("   ZZZ_Monde")</f>
        <v xml:space="preserve">   ZZZ_Monde</v>
      </c>
      <c r="C888">
        <v>1777652</v>
      </c>
      <c r="D888">
        <v>4700</v>
      </c>
    </row>
    <row r="889" spans="1:4" x14ac:dyDescent="0.25">
      <c r="A889" t="str">
        <f>T("   FR")</f>
        <v xml:space="preserve">   FR</v>
      </c>
      <c r="B889" t="str">
        <f>T("   France")</f>
        <v xml:space="preserve">   France</v>
      </c>
      <c r="C889">
        <v>1777652</v>
      </c>
      <c r="D889">
        <v>4700</v>
      </c>
    </row>
    <row r="890" spans="1:4" x14ac:dyDescent="0.25">
      <c r="A890" t="str">
        <f>T("730620")</f>
        <v>730620</v>
      </c>
      <c r="B890" t="str">
        <f>T("Tubes et tuyaux de cuvelage ou de production des types utilisés pour l'extraction du pétrole ou du gaz, en produits laminés plats en fer ou en acier, diamètre extérieur &lt;= 406,4 mm")</f>
        <v>Tubes et tuyaux de cuvelage ou de production des types utilisés pour l'extraction du pétrole ou du gaz, en produits laminés plats en fer ou en acier, diamètre extérieur &lt;= 406,4 mm</v>
      </c>
    </row>
    <row r="891" spans="1:4" x14ac:dyDescent="0.25">
      <c r="A891" t="str">
        <f>T("   ZZZ_Monde")</f>
        <v xml:space="preserve">   ZZZ_Monde</v>
      </c>
      <c r="B891" t="str">
        <f>T("   ZZZ_Monde")</f>
        <v xml:space="preserve">   ZZZ_Monde</v>
      </c>
      <c r="C891">
        <v>118639125</v>
      </c>
      <c r="D891">
        <v>366122</v>
      </c>
    </row>
    <row r="892" spans="1:4" x14ac:dyDescent="0.25">
      <c r="A892" t="str">
        <f>T("   NG")</f>
        <v xml:space="preserve">   NG</v>
      </c>
      <c r="B892" t="str">
        <f>T("   Nigéria")</f>
        <v xml:space="preserve">   Nigéria</v>
      </c>
      <c r="C892">
        <v>118639125</v>
      </c>
      <c r="D892">
        <v>366122</v>
      </c>
    </row>
    <row r="893" spans="1:4" x14ac:dyDescent="0.25">
      <c r="A893" t="str">
        <f>T("730690")</f>
        <v>730690</v>
      </c>
      <c r="B893" t="str">
        <f>T("Tubes, tuyaux et profilés creux [p.ex. rivés, agrafés ou à bords simplement rapprochés], en fer ou en acier (sauf tubes sans soudure ou soudés et tubes de sections intérieure et extérieure circulaires et d'un diamètre extérieur &gt; 406,4 mm)")</f>
        <v>Tubes, tuyaux et profilés creux [p.ex. rivés, agrafés ou à bords simplement rapprochés], en fer ou en acier (sauf tubes sans soudure ou soudés et tubes de sections intérieure et extérieure circulaires et d'un diamètre extérieur &gt; 406,4 mm)</v>
      </c>
    </row>
    <row r="894" spans="1:4" x14ac:dyDescent="0.25">
      <c r="A894" t="str">
        <f>T("   ZZZ_Monde")</f>
        <v xml:space="preserve">   ZZZ_Monde</v>
      </c>
      <c r="B894" t="str">
        <f>T("   ZZZ_Monde")</f>
        <v xml:space="preserve">   ZZZ_Monde</v>
      </c>
      <c r="C894">
        <v>1023298</v>
      </c>
      <c r="D894">
        <v>552</v>
      </c>
    </row>
    <row r="895" spans="1:4" x14ac:dyDescent="0.25">
      <c r="A895" t="str">
        <f>T("   GH")</f>
        <v xml:space="preserve">   GH</v>
      </c>
      <c r="B895" t="str">
        <f>T("   Ghana")</f>
        <v xml:space="preserve">   Ghana</v>
      </c>
      <c r="C895">
        <v>1023298</v>
      </c>
      <c r="D895">
        <v>552</v>
      </c>
    </row>
    <row r="896" spans="1:4" x14ac:dyDescent="0.25">
      <c r="A896" t="str">
        <f>T("730799")</f>
        <v>730799</v>
      </c>
      <c r="B896" t="str">
        <f>T("Accessoires de tuyauterie, en fer ou aciers (autres que moulés ou en aciers inoxydables; sauf brides; coudes, courbes et manchons, filetés et sauf accessoires à souder bout à bout)")</f>
        <v>Accessoires de tuyauterie, en fer ou aciers (autres que moulés ou en aciers inoxydables; sauf brides; coudes, courbes et manchons, filetés et sauf accessoires à souder bout à bout)</v>
      </c>
    </row>
    <row r="897" spans="1:4" x14ac:dyDescent="0.25">
      <c r="A897" t="str">
        <f>T("   ZZZ_Monde")</f>
        <v xml:space="preserve">   ZZZ_Monde</v>
      </c>
      <c r="B897" t="str">
        <f>T("   ZZZ_Monde")</f>
        <v xml:space="preserve">   ZZZ_Monde</v>
      </c>
      <c r="C897">
        <v>369305</v>
      </c>
      <c r="D897">
        <v>200</v>
      </c>
    </row>
    <row r="898" spans="1:4" x14ac:dyDescent="0.25">
      <c r="A898" t="str">
        <f>T("   GH")</f>
        <v xml:space="preserve">   GH</v>
      </c>
      <c r="B898" t="str">
        <f>T("   Ghana")</f>
        <v xml:space="preserve">   Ghana</v>
      </c>
      <c r="C898">
        <v>369305</v>
      </c>
      <c r="D898">
        <v>200</v>
      </c>
    </row>
    <row r="899" spans="1:4" x14ac:dyDescent="0.25">
      <c r="A899" t="str">
        <f>T("730820")</f>
        <v>730820</v>
      </c>
      <c r="B899" t="str">
        <f>T("Tours et pylônes, en fer ou en acier")</f>
        <v>Tours et pylônes, en fer ou en acier</v>
      </c>
    </row>
    <row r="900" spans="1:4" x14ac:dyDescent="0.25">
      <c r="A900" t="str">
        <f>T("   ZZZ_Monde")</f>
        <v xml:space="preserve">   ZZZ_Monde</v>
      </c>
      <c r="B900" t="str">
        <f>T("   ZZZ_Monde")</f>
        <v xml:space="preserve">   ZZZ_Monde</v>
      </c>
      <c r="C900">
        <v>19216699</v>
      </c>
      <c r="D900">
        <v>110500</v>
      </c>
    </row>
    <row r="901" spans="1:4" x14ac:dyDescent="0.25">
      <c r="A901" t="str">
        <f>T("   GQ")</f>
        <v xml:space="preserve">   GQ</v>
      </c>
      <c r="B901" t="str">
        <f>T("   Guinée Equatoriale")</f>
        <v xml:space="preserve">   Guinée Equatoriale</v>
      </c>
      <c r="C901">
        <v>14625000</v>
      </c>
      <c r="D901">
        <v>110000</v>
      </c>
    </row>
    <row r="902" spans="1:4" x14ac:dyDescent="0.25">
      <c r="A902" t="str">
        <f>T("   TG")</f>
        <v xml:space="preserve">   TG</v>
      </c>
      <c r="B902" t="str">
        <f>T("   Togo")</f>
        <v xml:space="preserve">   Togo</v>
      </c>
      <c r="C902">
        <v>4591699</v>
      </c>
      <c r="D902">
        <v>500</v>
      </c>
    </row>
    <row r="903" spans="1:4" x14ac:dyDescent="0.25">
      <c r="A903" t="str">
        <f>T("730830")</f>
        <v>730830</v>
      </c>
      <c r="B903" t="str">
        <f>T("Portes, fenêtres et leurs cadres et chambranles ainsi que leurs seuils, en fer ou en acier")</f>
        <v>Portes, fenêtres et leurs cadres et chambranles ainsi que leurs seuils, en fer ou en acier</v>
      </c>
    </row>
    <row r="904" spans="1:4" x14ac:dyDescent="0.25">
      <c r="A904" t="str">
        <f>T("   ZZZ_Monde")</f>
        <v xml:space="preserve">   ZZZ_Monde</v>
      </c>
      <c r="B904" t="str">
        <f>T("   ZZZ_Monde")</f>
        <v xml:space="preserve">   ZZZ_Monde</v>
      </c>
      <c r="C904">
        <v>240000</v>
      </c>
      <c r="D904">
        <v>500</v>
      </c>
    </row>
    <row r="905" spans="1:4" x14ac:dyDescent="0.25">
      <c r="A905" t="str">
        <f>T("   TG")</f>
        <v xml:space="preserve">   TG</v>
      </c>
      <c r="B905" t="str">
        <f>T("   Togo")</f>
        <v xml:space="preserve">   Togo</v>
      </c>
      <c r="C905">
        <v>240000</v>
      </c>
      <c r="D905">
        <v>500</v>
      </c>
    </row>
    <row r="906" spans="1:4" x14ac:dyDescent="0.25">
      <c r="A906" t="str">
        <f>T("730840")</f>
        <v>730840</v>
      </c>
      <c r="B906" t="str">
        <f>T("Matériel d'échafaudage, de coffrage ou d'étayage, en fer ou en acier (autre que palplanches assemblées et coffrages pour béton, qui présentent les caractéristiques de moules)")</f>
        <v>Matériel d'échafaudage, de coffrage ou d'étayage, en fer ou en acier (autre que palplanches assemblées et coffrages pour béton, qui présentent les caractéristiques de moules)</v>
      </c>
    </row>
    <row r="907" spans="1:4" x14ac:dyDescent="0.25">
      <c r="A907" t="str">
        <f>T("   ZZZ_Monde")</f>
        <v xml:space="preserve">   ZZZ_Monde</v>
      </c>
      <c r="B907" t="str">
        <f>T("   ZZZ_Monde")</f>
        <v xml:space="preserve">   ZZZ_Monde</v>
      </c>
      <c r="C907">
        <v>38604217</v>
      </c>
      <c r="D907">
        <v>53885</v>
      </c>
    </row>
    <row r="908" spans="1:4" x14ac:dyDescent="0.25">
      <c r="A908" t="str">
        <f>T("   GA")</f>
        <v xml:space="preserve">   GA</v>
      </c>
      <c r="B908" t="str">
        <f>T("   Gabon")</f>
        <v xml:space="preserve">   Gabon</v>
      </c>
      <c r="C908">
        <v>14675000</v>
      </c>
      <c r="D908">
        <v>5718</v>
      </c>
    </row>
    <row r="909" spans="1:4" x14ac:dyDescent="0.25">
      <c r="A909" t="str">
        <f>T("   GH")</f>
        <v xml:space="preserve">   GH</v>
      </c>
      <c r="B909" t="str">
        <f>T("   Ghana")</f>
        <v xml:space="preserve">   Ghana</v>
      </c>
      <c r="C909">
        <v>1891515</v>
      </c>
      <c r="D909">
        <v>8315</v>
      </c>
    </row>
    <row r="910" spans="1:4" x14ac:dyDescent="0.25">
      <c r="A910" t="str">
        <f>T("   NE")</f>
        <v xml:space="preserve">   NE</v>
      </c>
      <c r="B910" t="str">
        <f>T("   Niger")</f>
        <v xml:space="preserve">   Niger</v>
      </c>
      <c r="C910">
        <v>22037702</v>
      </c>
      <c r="D910">
        <v>39852</v>
      </c>
    </row>
    <row r="911" spans="1:4" x14ac:dyDescent="0.25">
      <c r="A911" t="str">
        <f>T("730890")</f>
        <v>730890</v>
      </c>
      <c r="B911" t="str">
        <f>T("Constructions et parties de constructions, en fonte, fer ou acier, n.d.a. (à l'excl. des ponts et éléments de ponts, tours et pylônes, portes et fenêtres et leurs cadres, chambranles et seuils, et à l'excl. du matériel d'échafaudage, de coffrage et d'étay")</f>
        <v>Constructions et parties de constructions, en fonte, fer ou acier, n.d.a. (à l'excl. des ponts et éléments de ponts, tours et pylônes, portes et fenêtres et leurs cadres, chambranles et seuils, et à l'excl. du matériel d'échafaudage, de coffrage et d'étay</v>
      </c>
    </row>
    <row r="912" spans="1:4" x14ac:dyDescent="0.25">
      <c r="A912" t="str">
        <f>T("   ZZZ_Monde")</f>
        <v xml:space="preserve">   ZZZ_Monde</v>
      </c>
      <c r="B912" t="str">
        <f>T("   ZZZ_Monde")</f>
        <v xml:space="preserve">   ZZZ_Monde</v>
      </c>
      <c r="C912">
        <v>44869271</v>
      </c>
      <c r="D912">
        <v>27380</v>
      </c>
    </row>
    <row r="913" spans="1:4" x14ac:dyDescent="0.25">
      <c r="A913" t="str">
        <f>T("   GA")</f>
        <v xml:space="preserve">   GA</v>
      </c>
      <c r="B913" t="str">
        <f>T("   Gabon")</f>
        <v xml:space="preserve">   Gabon</v>
      </c>
      <c r="C913">
        <v>800000</v>
      </c>
      <c r="D913">
        <v>2000</v>
      </c>
    </row>
    <row r="914" spans="1:4" x14ac:dyDescent="0.25">
      <c r="A914" t="str">
        <f>T("   GH")</f>
        <v xml:space="preserve">   GH</v>
      </c>
      <c r="B914" t="str">
        <f>T("   Ghana")</f>
        <v xml:space="preserve">   Ghana</v>
      </c>
      <c r="C914">
        <v>41869271</v>
      </c>
      <c r="D914">
        <v>22580</v>
      </c>
    </row>
    <row r="915" spans="1:4" x14ac:dyDescent="0.25">
      <c r="A915" t="str">
        <f>T("   NE")</f>
        <v xml:space="preserve">   NE</v>
      </c>
      <c r="B915" t="str">
        <f>T("   Niger")</f>
        <v xml:space="preserve">   Niger</v>
      </c>
      <c r="C915">
        <v>2200000</v>
      </c>
      <c r="D915">
        <v>2800</v>
      </c>
    </row>
    <row r="916" spans="1:4" x14ac:dyDescent="0.25">
      <c r="A916" t="str">
        <f>T("730900")</f>
        <v>730900</v>
      </c>
      <c r="B916" t="str">
        <f>T("Réservoirs, foudres, cuves et récipients simil. en fonte, fer ou acier, pour toutes matières (à l'excl. des gaz comprimés ou liquéfiés), d'une contenance &gt; 300 l, sans dispositifs mécaniques ou thermiques, même avec revêtement intérieur ou calorifuge (aut")</f>
        <v>Réservoirs, foudres, cuves et récipients simil. en fonte, fer ou acier, pour toutes matières (à l'excl. des gaz comprimés ou liquéfiés), d'une contenance &gt; 300 l, sans dispositifs mécaniques ou thermiques, même avec revêtement intérieur ou calorifuge (aut</v>
      </c>
    </row>
    <row r="917" spans="1:4" x14ac:dyDescent="0.25">
      <c r="A917" t="str">
        <f>T("   ZZZ_Monde")</f>
        <v xml:space="preserve">   ZZZ_Monde</v>
      </c>
      <c r="B917" t="str">
        <f>T("   ZZZ_Monde")</f>
        <v xml:space="preserve">   ZZZ_Monde</v>
      </c>
      <c r="C917">
        <v>1372816</v>
      </c>
      <c r="D917">
        <v>6168</v>
      </c>
    </row>
    <row r="918" spans="1:4" x14ac:dyDescent="0.25">
      <c r="A918" t="str">
        <f>T("   GA")</f>
        <v xml:space="preserve">   GA</v>
      </c>
      <c r="B918" t="str">
        <f>T("   Gabon")</f>
        <v xml:space="preserve">   Gabon</v>
      </c>
      <c r="C918">
        <v>320000</v>
      </c>
      <c r="D918">
        <v>6000</v>
      </c>
    </row>
    <row r="919" spans="1:4" x14ac:dyDescent="0.25">
      <c r="A919" t="str">
        <f>T("   GH")</f>
        <v xml:space="preserve">   GH</v>
      </c>
      <c r="B919" t="str">
        <f>T("   Ghana")</f>
        <v xml:space="preserve">   Ghana</v>
      </c>
      <c r="C919">
        <v>1052816</v>
      </c>
      <c r="D919">
        <v>168</v>
      </c>
    </row>
    <row r="920" spans="1:4" x14ac:dyDescent="0.25">
      <c r="A920" t="str">
        <f>T("731100")</f>
        <v>731100</v>
      </c>
      <c r="B920" t="str">
        <f>T("Récipients en fonte, fer ou acier, pour gaz comprimés ou liquéfiés (autres que conteneurs spécialement conçus ou équipés pour un ou plusieurs moyens de transport)")</f>
        <v>Récipients en fonte, fer ou acier, pour gaz comprimés ou liquéfiés (autres que conteneurs spécialement conçus ou équipés pour un ou plusieurs moyens de transport)</v>
      </c>
    </row>
    <row r="921" spans="1:4" x14ac:dyDescent="0.25">
      <c r="A921" t="str">
        <f>T("   ZZZ_Monde")</f>
        <v xml:space="preserve">   ZZZ_Monde</v>
      </c>
      <c r="B921" t="str">
        <f>T("   ZZZ_Monde")</f>
        <v xml:space="preserve">   ZZZ_Monde</v>
      </c>
      <c r="C921">
        <v>4100000</v>
      </c>
      <c r="D921">
        <v>10719</v>
      </c>
    </row>
    <row r="922" spans="1:4" x14ac:dyDescent="0.25">
      <c r="A922" t="str">
        <f>T("   FR")</f>
        <v xml:space="preserve">   FR</v>
      </c>
      <c r="B922" t="str">
        <f>T("   France")</f>
        <v xml:space="preserve">   France</v>
      </c>
      <c r="C922">
        <v>4100000</v>
      </c>
      <c r="D922">
        <v>10719</v>
      </c>
    </row>
    <row r="923" spans="1:4" x14ac:dyDescent="0.25">
      <c r="A923" t="str">
        <f>T("731700")</f>
        <v>731700</v>
      </c>
      <c r="B923" t="str">
        <f>T("Pointes, clous, punaises, crampons appointés, agrafes ondulées ou biseautées et articles simil., en fonte, fer ou acier, même avec tête en autre matière (à l'excl. de ceux avec tête en cuivre et à l'excl. des agrafes en barrettes)")</f>
        <v>Pointes, clous, punaises, crampons appointés, agrafes ondulées ou biseautées et articles simil., en fonte, fer ou acier, même avec tête en autre matière (à l'excl. de ceux avec tête en cuivre et à l'excl. des agrafes en barrettes)</v>
      </c>
    </row>
    <row r="924" spans="1:4" x14ac:dyDescent="0.25">
      <c r="A924" t="str">
        <f>T("   ZZZ_Monde")</f>
        <v xml:space="preserve">   ZZZ_Monde</v>
      </c>
      <c r="B924" t="str">
        <f>T("   ZZZ_Monde")</f>
        <v xml:space="preserve">   ZZZ_Monde</v>
      </c>
      <c r="C924">
        <v>465330000</v>
      </c>
      <c r="D924">
        <v>884000</v>
      </c>
    </row>
    <row r="925" spans="1:4" x14ac:dyDescent="0.25">
      <c r="A925" t="str">
        <f>T("   NE")</f>
        <v xml:space="preserve">   NE</v>
      </c>
      <c r="B925" t="str">
        <f>T("   Niger")</f>
        <v xml:space="preserve">   Niger</v>
      </c>
      <c r="C925">
        <v>18000000</v>
      </c>
      <c r="D925">
        <v>60000</v>
      </c>
    </row>
    <row r="926" spans="1:4" x14ac:dyDescent="0.25">
      <c r="A926" t="str">
        <f>T("   TD")</f>
        <v xml:space="preserve">   TD</v>
      </c>
      <c r="B926" t="str">
        <f>T("   Tchad")</f>
        <v xml:space="preserve">   Tchad</v>
      </c>
      <c r="C926">
        <v>447330000</v>
      </c>
      <c r="D926">
        <v>824000</v>
      </c>
    </row>
    <row r="927" spans="1:4" x14ac:dyDescent="0.25">
      <c r="A927" t="str">
        <f>T("732111")</f>
        <v>732111</v>
      </c>
      <c r="B927" t="str">
        <f>T("Appareils de cuisson tels que foyers de cuisson, barbecues, grilloirs, réchauds et cuisinières, ainsi que chauffe-plats, à usage domestique, en fonte, fer ou acier, à combustibles gazeux ou à gaz et autres combustibles (à l'excl. des appareils destinés à")</f>
        <v>Appareils de cuisson tels que foyers de cuisson, barbecues, grilloirs, réchauds et cuisinières, ainsi que chauffe-plats, à usage domestique, en fonte, fer ou acier, à combustibles gazeux ou à gaz et autres combustibles (à l'excl. des appareils destinés à</v>
      </c>
    </row>
    <row r="928" spans="1:4" x14ac:dyDescent="0.25">
      <c r="A928" t="str">
        <f>T("   ZZZ_Monde")</f>
        <v xml:space="preserve">   ZZZ_Monde</v>
      </c>
      <c r="B928" t="str">
        <f>T("   ZZZ_Monde")</f>
        <v xml:space="preserve">   ZZZ_Monde</v>
      </c>
      <c r="C928">
        <v>24718678</v>
      </c>
      <c r="D928">
        <v>13200</v>
      </c>
    </row>
    <row r="929" spans="1:4" x14ac:dyDescent="0.25">
      <c r="A929" t="str">
        <f>T("   TG")</f>
        <v xml:space="preserve">   TG</v>
      </c>
      <c r="B929" t="str">
        <f>T("   Togo")</f>
        <v xml:space="preserve">   Togo</v>
      </c>
      <c r="C929">
        <v>24718678</v>
      </c>
      <c r="D929">
        <v>13200</v>
      </c>
    </row>
    <row r="930" spans="1:4" x14ac:dyDescent="0.25">
      <c r="A930" t="str">
        <f>T("732112")</f>
        <v>732112</v>
      </c>
      <c r="B930" t="str">
        <f>T("Appareils de cuisson tels que foyers de cuisson, barbecues, grilloirs, réchauds et cuisinières, ainsi que chauffe-plats, à usage domestique, en fonte, fer ou acier, à combustibles liquides (à l'excl. des appareils destinés à la cuisine à grande échelle)")</f>
        <v>Appareils de cuisson tels que foyers de cuisson, barbecues, grilloirs, réchauds et cuisinières, ainsi que chauffe-plats, à usage domestique, en fonte, fer ou acier, à combustibles liquides (à l'excl. des appareils destinés à la cuisine à grande échelle)</v>
      </c>
    </row>
    <row r="931" spans="1:4" x14ac:dyDescent="0.25">
      <c r="A931" t="str">
        <f>T("   ZZZ_Monde")</f>
        <v xml:space="preserve">   ZZZ_Monde</v>
      </c>
      <c r="B931" t="str">
        <f>T("   ZZZ_Monde")</f>
        <v xml:space="preserve">   ZZZ_Monde</v>
      </c>
      <c r="C931">
        <v>168300</v>
      </c>
      <c r="D931">
        <v>265</v>
      </c>
    </row>
    <row r="932" spans="1:4" x14ac:dyDescent="0.25">
      <c r="A932" t="str">
        <f>T("   GQ")</f>
        <v xml:space="preserve">   GQ</v>
      </c>
      <c r="B932" t="str">
        <f>T("   Guinée Equatoriale")</f>
        <v xml:space="preserve">   Guinée Equatoriale</v>
      </c>
      <c r="C932">
        <v>168300</v>
      </c>
      <c r="D932">
        <v>265</v>
      </c>
    </row>
    <row r="933" spans="1:4" x14ac:dyDescent="0.25">
      <c r="A933" t="str">
        <f>T("732393")</f>
        <v>732393</v>
      </c>
      <c r="B933" t="str">
        <f>T("Articles de ménage ou d'économie domestique et leurs parties, en aciers inoxydables (à l'excl. des bidons, boîtes et récipients simil. du n° 7310; poubelles; pelles, tire-bouchons et autres articles à caractère d'outils; coutellerie et cuillers, louches,")</f>
        <v>Articles de ménage ou d'économie domestique et leurs parties, en aciers inoxydables (à l'excl. des bidons, boîtes et récipients simil. du n° 7310; poubelles; pelles, tire-bouchons et autres articles à caractère d'outils; coutellerie et cuillers, louches,</v>
      </c>
    </row>
    <row r="934" spans="1:4" x14ac:dyDescent="0.25">
      <c r="A934" t="str">
        <f>T("   ZZZ_Monde")</f>
        <v xml:space="preserve">   ZZZ_Monde</v>
      </c>
      <c r="B934" t="str">
        <f>T("   ZZZ_Monde")</f>
        <v xml:space="preserve">   ZZZ_Monde</v>
      </c>
      <c r="C934">
        <v>1928527</v>
      </c>
      <c r="D934">
        <v>5000</v>
      </c>
    </row>
    <row r="935" spans="1:4" x14ac:dyDescent="0.25">
      <c r="A935" t="str">
        <f>T("   BF")</f>
        <v xml:space="preserve">   BF</v>
      </c>
      <c r="B935" t="str">
        <f>T("   Burkina Faso")</f>
        <v xml:space="preserve">   Burkina Faso</v>
      </c>
      <c r="C935">
        <v>482132</v>
      </c>
      <c r="D935">
        <v>1250</v>
      </c>
    </row>
    <row r="936" spans="1:4" x14ac:dyDescent="0.25">
      <c r="A936" t="str">
        <f>T("   ML")</f>
        <v xml:space="preserve">   ML</v>
      </c>
      <c r="B936" t="str">
        <f>T("   Mali")</f>
        <v xml:space="preserve">   Mali</v>
      </c>
      <c r="C936">
        <v>1446395</v>
      </c>
      <c r="D936">
        <v>3750</v>
      </c>
    </row>
    <row r="937" spans="1:4" x14ac:dyDescent="0.25">
      <c r="A937" t="str">
        <f>T("732394")</f>
        <v>732394</v>
      </c>
      <c r="B937" t="str">
        <f>T("Articles de ménage ou d'économie domestique et leurs parties, en fer ou en aciers autres qu'inoxydables, émaillés (à l'excl. de la fonte; des bidons, boîtes et récipients simil. du n° 7310; poubelles; pelles et autres articles à caractère d'outils; cuille")</f>
        <v>Articles de ménage ou d'économie domestique et leurs parties, en fer ou en aciers autres qu'inoxydables, émaillés (à l'excl. de la fonte; des bidons, boîtes et récipients simil. du n° 7310; poubelles; pelles et autres articles à caractère d'outils; cuille</v>
      </c>
    </row>
    <row r="938" spans="1:4" x14ac:dyDescent="0.25">
      <c r="A938" t="str">
        <f>T("   ZZZ_Monde")</f>
        <v xml:space="preserve">   ZZZ_Monde</v>
      </c>
      <c r="B938" t="str">
        <f>T("   ZZZ_Monde")</f>
        <v xml:space="preserve">   ZZZ_Monde</v>
      </c>
      <c r="C938">
        <v>25900000</v>
      </c>
      <c r="D938">
        <v>37800</v>
      </c>
    </row>
    <row r="939" spans="1:4" x14ac:dyDescent="0.25">
      <c r="A939" t="str">
        <f>T("   BE")</f>
        <v xml:space="preserve">   BE</v>
      </c>
      <c r="B939" t="str">
        <f>T("   Belgique")</f>
        <v xml:space="preserve">   Belgique</v>
      </c>
      <c r="C939">
        <v>3050000</v>
      </c>
      <c r="D939">
        <v>5400</v>
      </c>
    </row>
    <row r="940" spans="1:4" x14ac:dyDescent="0.25">
      <c r="A940" t="str">
        <f>T("   BI")</f>
        <v xml:space="preserve">   BI</v>
      </c>
      <c r="B940" t="str">
        <f>T("   Burundi")</f>
        <v xml:space="preserve">   Burundi</v>
      </c>
      <c r="C940">
        <v>1000000</v>
      </c>
      <c r="D940">
        <v>800</v>
      </c>
    </row>
    <row r="941" spans="1:4" x14ac:dyDescent="0.25">
      <c r="A941" t="str">
        <f>T("   CA")</f>
        <v xml:space="preserve">   CA</v>
      </c>
      <c r="B941" t="str">
        <f>T("   Canada")</f>
        <v xml:space="preserve">   Canada</v>
      </c>
      <c r="C941">
        <v>400000</v>
      </c>
      <c r="D941">
        <v>500</v>
      </c>
    </row>
    <row r="942" spans="1:4" x14ac:dyDescent="0.25">
      <c r="A942" t="str">
        <f>T("   CD")</f>
        <v xml:space="preserve">   CD</v>
      </c>
      <c r="B942" t="str">
        <f>T("   Congo, République Démocratique")</f>
        <v xml:space="preserve">   Congo, République Démocratique</v>
      </c>
      <c r="C942">
        <v>400000</v>
      </c>
      <c r="D942">
        <v>530</v>
      </c>
    </row>
    <row r="943" spans="1:4" x14ac:dyDescent="0.25">
      <c r="A943" t="str">
        <f>T("   CL")</f>
        <v xml:space="preserve">   CL</v>
      </c>
      <c r="B943" t="str">
        <f>T("   Chili")</f>
        <v xml:space="preserve">   Chili</v>
      </c>
      <c r="C943">
        <v>900000</v>
      </c>
      <c r="D943">
        <v>1100</v>
      </c>
    </row>
    <row r="944" spans="1:4" x14ac:dyDescent="0.25">
      <c r="A944" t="str">
        <f>T("   CM")</f>
        <v xml:space="preserve">   CM</v>
      </c>
      <c r="B944" t="str">
        <f>T("   Cameroun")</f>
        <v xml:space="preserve">   Cameroun</v>
      </c>
      <c r="C944">
        <v>1100000</v>
      </c>
      <c r="D944">
        <v>1200</v>
      </c>
    </row>
    <row r="945" spans="1:4" x14ac:dyDescent="0.25">
      <c r="A945" t="str">
        <f>T("   DE")</f>
        <v xml:space="preserve">   DE</v>
      </c>
      <c r="B945" t="str">
        <f>T("   Allemagne")</f>
        <v xml:space="preserve">   Allemagne</v>
      </c>
      <c r="C945">
        <v>2000000</v>
      </c>
      <c r="D945">
        <v>2200</v>
      </c>
    </row>
    <row r="946" spans="1:4" x14ac:dyDescent="0.25">
      <c r="A946" t="str">
        <f>T("   DK")</f>
        <v xml:space="preserve">   DK</v>
      </c>
      <c r="B946" t="str">
        <f>T("   Danemark")</f>
        <v xml:space="preserve">   Danemark</v>
      </c>
      <c r="C946">
        <v>600000</v>
      </c>
      <c r="D946">
        <v>400</v>
      </c>
    </row>
    <row r="947" spans="1:4" x14ac:dyDescent="0.25">
      <c r="A947" t="str">
        <f>T("   DZ")</f>
        <v xml:space="preserve">   DZ</v>
      </c>
      <c r="B947" t="str">
        <f>T("   Algérie")</f>
        <v xml:space="preserve">   Algérie</v>
      </c>
      <c r="C947">
        <v>300000</v>
      </c>
      <c r="D947">
        <v>300</v>
      </c>
    </row>
    <row r="948" spans="1:4" x14ac:dyDescent="0.25">
      <c r="A948" t="str">
        <f>T("   FR")</f>
        <v xml:space="preserve">   FR</v>
      </c>
      <c r="B948" t="str">
        <f>T("   France")</f>
        <v xml:space="preserve">   France</v>
      </c>
      <c r="C948">
        <v>4750000</v>
      </c>
      <c r="D948">
        <v>5170</v>
      </c>
    </row>
    <row r="949" spans="1:4" x14ac:dyDescent="0.25">
      <c r="A949" t="str">
        <f>T("   GA")</f>
        <v xml:space="preserve">   GA</v>
      </c>
      <c r="B949" t="str">
        <f>T("   Gabon")</f>
        <v xml:space="preserve">   Gabon</v>
      </c>
      <c r="C949">
        <v>1100000</v>
      </c>
      <c r="D949">
        <v>1200</v>
      </c>
    </row>
    <row r="950" spans="1:4" x14ac:dyDescent="0.25">
      <c r="A950" t="str">
        <f>T("   GN")</f>
        <v xml:space="preserve">   GN</v>
      </c>
      <c r="B950" t="str">
        <f>T("   Guinée")</f>
        <v xml:space="preserve">   Guinée</v>
      </c>
      <c r="C950">
        <v>500000</v>
      </c>
      <c r="D950">
        <v>1500</v>
      </c>
    </row>
    <row r="951" spans="1:4" x14ac:dyDescent="0.25">
      <c r="A951" t="str">
        <f>T("   GP")</f>
        <v xml:space="preserve">   GP</v>
      </c>
      <c r="B951" t="str">
        <f>T("   Guadeloupe")</f>
        <v xml:space="preserve">   Guadeloupe</v>
      </c>
      <c r="C951">
        <v>500000</v>
      </c>
      <c r="D951">
        <v>800</v>
      </c>
    </row>
    <row r="952" spans="1:4" x14ac:dyDescent="0.25">
      <c r="A952" t="str">
        <f>T("   LR")</f>
        <v xml:space="preserve">   LR</v>
      </c>
      <c r="B952" t="str">
        <f>T("   Libéria")</f>
        <v xml:space="preserve">   Libéria</v>
      </c>
      <c r="C952">
        <v>400000</v>
      </c>
      <c r="D952">
        <v>700</v>
      </c>
    </row>
    <row r="953" spans="1:4" x14ac:dyDescent="0.25">
      <c r="A953" t="str">
        <f>T("   MA")</f>
        <v xml:space="preserve">   MA</v>
      </c>
      <c r="B953" t="str">
        <f>T("   Maroc")</f>
        <v xml:space="preserve">   Maroc</v>
      </c>
      <c r="C953">
        <v>1350000</v>
      </c>
      <c r="D953">
        <v>6500</v>
      </c>
    </row>
    <row r="954" spans="1:4" x14ac:dyDescent="0.25">
      <c r="A954" t="str">
        <f>T("   ML")</f>
        <v xml:space="preserve">   ML</v>
      </c>
      <c r="B954" t="str">
        <f>T("   Mali")</f>
        <v xml:space="preserve">   Mali</v>
      </c>
      <c r="C954">
        <v>200000</v>
      </c>
      <c r="D954">
        <v>300</v>
      </c>
    </row>
    <row r="955" spans="1:4" x14ac:dyDescent="0.25">
      <c r="A955" t="str">
        <f>T("   MQ")</f>
        <v xml:space="preserve">   MQ</v>
      </c>
      <c r="B955" t="str">
        <f>T("   Martinique")</f>
        <v xml:space="preserve">   Martinique</v>
      </c>
      <c r="C955">
        <v>300000</v>
      </c>
      <c r="D955">
        <v>450</v>
      </c>
    </row>
    <row r="956" spans="1:4" x14ac:dyDescent="0.25">
      <c r="A956" t="str">
        <f>T("   NE")</f>
        <v xml:space="preserve">   NE</v>
      </c>
      <c r="B956" t="str">
        <f>T("   Niger")</f>
        <v xml:space="preserve">   Niger</v>
      </c>
      <c r="C956">
        <v>950000</v>
      </c>
      <c r="D956">
        <v>1500</v>
      </c>
    </row>
    <row r="957" spans="1:4" x14ac:dyDescent="0.25">
      <c r="A957" t="str">
        <f>T("   NL")</f>
        <v xml:space="preserve">   NL</v>
      </c>
      <c r="B957" t="str">
        <f>T("   Pays-bas")</f>
        <v xml:space="preserve">   Pays-bas</v>
      </c>
      <c r="C957">
        <v>1200000</v>
      </c>
      <c r="D957">
        <v>750</v>
      </c>
    </row>
    <row r="958" spans="1:4" x14ac:dyDescent="0.25">
      <c r="A958" t="str">
        <f>T("   RW")</f>
        <v xml:space="preserve">   RW</v>
      </c>
      <c r="B958" t="str">
        <f>T("   Rwanda")</f>
        <v xml:space="preserve">   Rwanda</v>
      </c>
      <c r="C958">
        <v>500000</v>
      </c>
      <c r="D958">
        <v>700</v>
      </c>
    </row>
    <row r="959" spans="1:4" x14ac:dyDescent="0.25">
      <c r="A959" t="str">
        <f>T("   SN")</f>
        <v xml:space="preserve">   SN</v>
      </c>
      <c r="B959" t="str">
        <f>T("   Sénégal")</f>
        <v xml:space="preserve">   Sénégal</v>
      </c>
      <c r="C959">
        <v>900000</v>
      </c>
      <c r="D959">
        <v>700</v>
      </c>
    </row>
    <row r="960" spans="1:4" x14ac:dyDescent="0.25">
      <c r="A960" t="str">
        <f>T("   TD")</f>
        <v xml:space="preserve">   TD</v>
      </c>
      <c r="B960" t="str">
        <f>T("   Tchad")</f>
        <v xml:space="preserve">   Tchad</v>
      </c>
      <c r="C960">
        <v>700000</v>
      </c>
      <c r="D960">
        <v>2200</v>
      </c>
    </row>
    <row r="961" spans="1:4" x14ac:dyDescent="0.25">
      <c r="A961" t="str">
        <f>T("   TZ")</f>
        <v xml:space="preserve">   TZ</v>
      </c>
      <c r="B961" t="str">
        <f>T("   Tanzanie")</f>
        <v xml:space="preserve">   Tanzanie</v>
      </c>
      <c r="C961">
        <v>400000</v>
      </c>
      <c r="D961">
        <v>600</v>
      </c>
    </row>
    <row r="962" spans="1:4" x14ac:dyDescent="0.25">
      <c r="A962" t="str">
        <f>T("   UG")</f>
        <v xml:space="preserve">   UG</v>
      </c>
      <c r="B962" t="str">
        <f>T("   Ouganda")</f>
        <v xml:space="preserve">   Ouganda</v>
      </c>
      <c r="C962">
        <v>400000</v>
      </c>
      <c r="D962">
        <v>500</v>
      </c>
    </row>
    <row r="963" spans="1:4" x14ac:dyDescent="0.25">
      <c r="A963" t="str">
        <f>T("   US")</f>
        <v xml:space="preserve">   US</v>
      </c>
      <c r="B963" t="str">
        <f>T("   Etats-Unis")</f>
        <v xml:space="preserve">   Etats-Unis</v>
      </c>
      <c r="C963">
        <v>2000000</v>
      </c>
      <c r="D963">
        <v>1800</v>
      </c>
    </row>
    <row r="964" spans="1:4" x14ac:dyDescent="0.25">
      <c r="A964" t="str">
        <f>T("732399")</f>
        <v>732399</v>
      </c>
      <c r="B964" t="str">
        <f>T("Articles de ménage ou d'économie domestique et leurs parties, en fer ou aciers autres qu'inoxydables (sauf fonte et articles émaillés; bidons, boîtes et récipients simil. du n° 7310; poubelles; pelles, tire-bouchons et autres articles à caractère d'outils")</f>
        <v>Articles de ménage ou d'économie domestique et leurs parties, en fer ou aciers autres qu'inoxydables (sauf fonte et articles émaillés; bidons, boîtes et récipients simil. du n° 7310; poubelles; pelles, tire-bouchons et autres articles à caractère d'outils</v>
      </c>
    </row>
    <row r="965" spans="1:4" x14ac:dyDescent="0.25">
      <c r="A965" t="str">
        <f>T("   ZZZ_Monde")</f>
        <v xml:space="preserve">   ZZZ_Monde</v>
      </c>
      <c r="B965" t="str">
        <f>T("   ZZZ_Monde")</f>
        <v xml:space="preserve">   ZZZ_Monde</v>
      </c>
      <c r="C965">
        <v>47642904</v>
      </c>
      <c r="D965">
        <v>67500</v>
      </c>
    </row>
    <row r="966" spans="1:4" x14ac:dyDescent="0.25">
      <c r="A966" t="str">
        <f>T("   CI")</f>
        <v xml:space="preserve">   CI</v>
      </c>
      <c r="B966" t="str">
        <f>T("   Côte d'Ivoire")</f>
        <v xml:space="preserve">   Côte d'Ivoire</v>
      </c>
      <c r="C966">
        <v>40000441</v>
      </c>
      <c r="D966">
        <v>16000</v>
      </c>
    </row>
    <row r="967" spans="1:4" x14ac:dyDescent="0.25">
      <c r="A967" t="str">
        <f>T("   FR")</f>
        <v xml:space="preserve">   FR</v>
      </c>
      <c r="B967" t="str">
        <f>T("   France")</f>
        <v xml:space="preserve">   France</v>
      </c>
      <c r="C967">
        <v>400000</v>
      </c>
      <c r="D967">
        <v>20000</v>
      </c>
    </row>
    <row r="968" spans="1:4" x14ac:dyDescent="0.25">
      <c r="A968" t="str">
        <f>T("   GH")</f>
        <v xml:space="preserve">   GH</v>
      </c>
      <c r="B968" t="str">
        <f>T("   Ghana")</f>
        <v xml:space="preserve">   Ghana</v>
      </c>
      <c r="C968">
        <v>400000</v>
      </c>
      <c r="D968">
        <v>10000</v>
      </c>
    </row>
    <row r="969" spans="1:4" x14ac:dyDescent="0.25">
      <c r="A969" t="str">
        <f>T("   MR")</f>
        <v xml:space="preserve">   MR</v>
      </c>
      <c r="B969" t="str">
        <f>T("   Mauritanie")</f>
        <v xml:space="preserve">   Mauritanie</v>
      </c>
      <c r="C969">
        <v>6167463</v>
      </c>
      <c r="D969">
        <v>1000</v>
      </c>
    </row>
    <row r="970" spans="1:4" x14ac:dyDescent="0.25">
      <c r="A970" t="str">
        <f>T("   SN")</f>
        <v xml:space="preserve">   SN</v>
      </c>
      <c r="B970" t="str">
        <f>T("   Sénégal")</f>
        <v xml:space="preserve">   Sénégal</v>
      </c>
      <c r="C970">
        <v>100000</v>
      </c>
      <c r="D970">
        <v>10000</v>
      </c>
    </row>
    <row r="971" spans="1:4" x14ac:dyDescent="0.25">
      <c r="A971" t="str">
        <f>T("   TN")</f>
        <v xml:space="preserve">   TN</v>
      </c>
      <c r="B971" t="str">
        <f>T("   Tunisie")</f>
        <v xml:space="preserve">   Tunisie</v>
      </c>
      <c r="C971">
        <v>200000</v>
      </c>
      <c r="D971">
        <v>10000</v>
      </c>
    </row>
    <row r="972" spans="1:4" x14ac:dyDescent="0.25">
      <c r="A972" t="str">
        <f>T("   UG")</f>
        <v xml:space="preserve">   UG</v>
      </c>
      <c r="B972" t="str">
        <f>T("   Ouganda")</f>
        <v xml:space="preserve">   Ouganda</v>
      </c>
      <c r="C972">
        <v>375000</v>
      </c>
      <c r="D972">
        <v>500</v>
      </c>
    </row>
    <row r="973" spans="1:4" x14ac:dyDescent="0.25">
      <c r="A973" t="str">
        <f>T("732591")</f>
        <v>732591</v>
      </c>
      <c r="B973" t="str">
        <f>T("Boulets et simil., pour broyeurs, moulés (sauf en fonte non malléable)")</f>
        <v>Boulets et simil., pour broyeurs, moulés (sauf en fonte non malléable)</v>
      </c>
    </row>
    <row r="974" spans="1:4" x14ac:dyDescent="0.25">
      <c r="A974" t="str">
        <f>T("   ZZZ_Monde")</f>
        <v xml:space="preserve">   ZZZ_Monde</v>
      </c>
      <c r="B974" t="str">
        <f>T("   ZZZ_Monde")</f>
        <v xml:space="preserve">   ZZZ_Monde</v>
      </c>
      <c r="C974">
        <v>6493974</v>
      </c>
      <c r="D974">
        <v>18000</v>
      </c>
    </row>
    <row r="975" spans="1:4" x14ac:dyDescent="0.25">
      <c r="A975" t="str">
        <f>T("   TG")</f>
        <v xml:space="preserve">   TG</v>
      </c>
      <c r="B975" t="str">
        <f>T("   Togo")</f>
        <v xml:space="preserve">   Togo</v>
      </c>
      <c r="C975">
        <v>6493974</v>
      </c>
      <c r="D975">
        <v>18000</v>
      </c>
    </row>
    <row r="976" spans="1:4" x14ac:dyDescent="0.25">
      <c r="A976" t="str">
        <f>T("732599")</f>
        <v>732599</v>
      </c>
      <c r="B976" t="str">
        <f>T("OUVRAGES EN FONTE, FER OU ACIER, MOULÉS, N.D.A. (À L'EXCL. DE LA FONTE NON-MALLÉABLE ET SAUF BOULETS ET ARTICLES SIMIL. POUR BROYEURS)")</f>
        <v>OUVRAGES EN FONTE, FER OU ACIER, MOULÉS, N.D.A. (À L'EXCL. DE LA FONTE NON-MALLÉABLE ET SAUF BOULETS ET ARTICLES SIMIL. POUR BROYEURS)</v>
      </c>
    </row>
    <row r="977" spans="1:4" x14ac:dyDescent="0.25">
      <c r="A977" t="str">
        <f>T("   ZZZ_Monde")</f>
        <v xml:space="preserve">   ZZZ_Monde</v>
      </c>
      <c r="B977" t="str">
        <f>T("   ZZZ_Monde")</f>
        <v xml:space="preserve">   ZZZ_Monde</v>
      </c>
      <c r="C977">
        <v>600000</v>
      </c>
      <c r="D977">
        <v>2000</v>
      </c>
    </row>
    <row r="978" spans="1:4" x14ac:dyDescent="0.25">
      <c r="A978" t="str">
        <f>T("   GA")</f>
        <v xml:space="preserve">   GA</v>
      </c>
      <c r="B978" t="str">
        <f>T("   Gabon")</f>
        <v xml:space="preserve">   Gabon</v>
      </c>
      <c r="C978">
        <v>600000</v>
      </c>
      <c r="D978">
        <v>2000</v>
      </c>
    </row>
    <row r="979" spans="1:4" x14ac:dyDescent="0.25">
      <c r="A979" t="str">
        <f>T("732619")</f>
        <v>732619</v>
      </c>
      <c r="B979" t="str">
        <f>T("Ouvrages en fer ou en acier, forgés ou estampés mais non autrement travaillés, n.d.a. (sauf boulets et articles simil. pour broyeurs)")</f>
        <v>Ouvrages en fer ou en acier, forgés ou estampés mais non autrement travaillés, n.d.a. (sauf boulets et articles simil. pour broyeurs)</v>
      </c>
    </row>
    <row r="980" spans="1:4" x14ac:dyDescent="0.25">
      <c r="A980" t="str">
        <f>T("   ZZZ_Monde")</f>
        <v xml:space="preserve">   ZZZ_Monde</v>
      </c>
      <c r="B980" t="str">
        <f>T("   ZZZ_Monde")</f>
        <v xml:space="preserve">   ZZZ_Monde</v>
      </c>
      <c r="C980">
        <v>3610000</v>
      </c>
      <c r="D980">
        <v>10500</v>
      </c>
    </row>
    <row r="981" spans="1:4" x14ac:dyDescent="0.25">
      <c r="A981" t="str">
        <f>T("   CG")</f>
        <v xml:space="preserve">   CG</v>
      </c>
      <c r="B981" t="str">
        <f>T("   Congo (Brazzaville)")</f>
        <v xml:space="preserve">   Congo (Brazzaville)</v>
      </c>
      <c r="C981">
        <v>2410000</v>
      </c>
      <c r="D981">
        <v>6000</v>
      </c>
    </row>
    <row r="982" spans="1:4" x14ac:dyDescent="0.25">
      <c r="A982" t="str">
        <f>T("   DK")</f>
        <v xml:space="preserve">   DK</v>
      </c>
      <c r="B982" t="str">
        <f>T("   Danemark")</f>
        <v xml:space="preserve">   Danemark</v>
      </c>
      <c r="C982">
        <v>1200000</v>
      </c>
      <c r="D982">
        <v>4500</v>
      </c>
    </row>
    <row r="983" spans="1:4" x14ac:dyDescent="0.25">
      <c r="A983" t="str">
        <f>T("732620")</f>
        <v>732620</v>
      </c>
      <c r="B983" t="str">
        <f>T("Ouvrages en fil de fer ou d'acier, n.d.a.")</f>
        <v>Ouvrages en fil de fer ou d'acier, n.d.a.</v>
      </c>
    </row>
    <row r="984" spans="1:4" x14ac:dyDescent="0.25">
      <c r="A984" t="str">
        <f>T("   ZZZ_Monde")</f>
        <v xml:space="preserve">   ZZZ_Monde</v>
      </c>
      <c r="B984" t="str">
        <f>T("   ZZZ_Monde")</f>
        <v xml:space="preserve">   ZZZ_Monde</v>
      </c>
      <c r="C984">
        <v>97595998</v>
      </c>
      <c r="D984">
        <v>155368</v>
      </c>
    </row>
    <row r="985" spans="1:4" x14ac:dyDescent="0.25">
      <c r="A985" t="str">
        <f>T("   CN")</f>
        <v xml:space="preserve">   CN</v>
      </c>
      <c r="B985" t="str">
        <f>T("   Chine")</f>
        <v xml:space="preserve">   Chine</v>
      </c>
      <c r="C985">
        <v>60153185</v>
      </c>
      <c r="D985">
        <v>96913</v>
      </c>
    </row>
    <row r="986" spans="1:4" x14ac:dyDescent="0.25">
      <c r="A986" t="str">
        <f>T("   ID")</f>
        <v xml:space="preserve">   ID</v>
      </c>
      <c r="B986" t="str">
        <f>T("   Indonésie")</f>
        <v xml:space="preserve">   Indonésie</v>
      </c>
      <c r="C986">
        <v>28555080</v>
      </c>
      <c r="D986">
        <v>46717</v>
      </c>
    </row>
    <row r="987" spans="1:4" x14ac:dyDescent="0.25">
      <c r="A987" t="str">
        <f>T("   IT")</f>
        <v xml:space="preserve">   IT</v>
      </c>
      <c r="B987" t="str">
        <f>T("   Italie")</f>
        <v xml:space="preserve">   Italie</v>
      </c>
      <c r="C987">
        <v>808791</v>
      </c>
      <c r="D987">
        <v>948</v>
      </c>
    </row>
    <row r="988" spans="1:4" x14ac:dyDescent="0.25">
      <c r="A988" t="str">
        <f>T("   MY")</f>
        <v xml:space="preserve">   MY</v>
      </c>
      <c r="B988" t="str">
        <f>T("   Malaisie")</f>
        <v xml:space="preserve">   Malaisie</v>
      </c>
      <c r="C988">
        <v>8078942</v>
      </c>
      <c r="D988">
        <v>10790</v>
      </c>
    </row>
    <row r="989" spans="1:4" x14ac:dyDescent="0.25">
      <c r="A989" t="str">
        <f>T("732690")</f>
        <v>732690</v>
      </c>
      <c r="B989" t="str">
        <f>T("Ouvrages en fer ou en acier, n.d.a. (autres que moulés, ainsi que forgés ou estampés mais non autrement travaillés ou en fils de fer ou d'acier)")</f>
        <v>Ouvrages en fer ou en acier, n.d.a. (autres que moulés, ainsi que forgés ou estampés mais non autrement travaillés ou en fils de fer ou d'acier)</v>
      </c>
    </row>
    <row r="990" spans="1:4" x14ac:dyDescent="0.25">
      <c r="A990" t="str">
        <f>T("   ZZZ_Monde")</f>
        <v xml:space="preserve">   ZZZ_Monde</v>
      </c>
      <c r="B990" t="str">
        <f>T("   ZZZ_Monde")</f>
        <v xml:space="preserve">   ZZZ_Monde</v>
      </c>
      <c r="C990">
        <v>22900261</v>
      </c>
      <c r="D990">
        <v>24183</v>
      </c>
    </row>
    <row r="991" spans="1:4" x14ac:dyDescent="0.25">
      <c r="A991" t="str">
        <f>T("   BE")</f>
        <v xml:space="preserve">   BE</v>
      </c>
      <c r="B991" t="str">
        <f>T("   Belgique")</f>
        <v xml:space="preserve">   Belgique</v>
      </c>
      <c r="C991">
        <v>290000</v>
      </c>
      <c r="D991">
        <v>645</v>
      </c>
    </row>
    <row r="992" spans="1:4" x14ac:dyDescent="0.25">
      <c r="A992" t="str">
        <f>T("   BF")</f>
        <v xml:space="preserve">   BF</v>
      </c>
      <c r="B992" t="str">
        <f>T("   Burkina Faso")</f>
        <v xml:space="preserve">   Burkina Faso</v>
      </c>
      <c r="C992">
        <v>700000</v>
      </c>
      <c r="D992">
        <v>55</v>
      </c>
    </row>
    <row r="993" spans="1:4" x14ac:dyDescent="0.25">
      <c r="A993" t="str">
        <f>T("   GA")</f>
        <v xml:space="preserve">   GA</v>
      </c>
      <c r="B993" t="str">
        <f>T("   Gabon")</f>
        <v xml:space="preserve">   Gabon</v>
      </c>
      <c r="C993">
        <v>14822007</v>
      </c>
      <c r="D993">
        <v>14000</v>
      </c>
    </row>
    <row r="994" spans="1:4" x14ac:dyDescent="0.25">
      <c r="A994" t="str">
        <f>T("   GH")</f>
        <v xml:space="preserve">   GH</v>
      </c>
      <c r="B994" t="str">
        <f>T("   Ghana")</f>
        <v xml:space="preserve">   Ghana</v>
      </c>
      <c r="C994">
        <v>175797</v>
      </c>
      <c r="D994">
        <v>28</v>
      </c>
    </row>
    <row r="995" spans="1:4" x14ac:dyDescent="0.25">
      <c r="A995" t="str">
        <f>T("   LB")</f>
        <v xml:space="preserve">   LB</v>
      </c>
      <c r="B995" t="str">
        <f>T("   Liban")</f>
        <v xml:space="preserve">   Liban</v>
      </c>
      <c r="C995">
        <v>2937457</v>
      </c>
      <c r="D995">
        <v>5000</v>
      </c>
    </row>
    <row r="996" spans="1:4" x14ac:dyDescent="0.25">
      <c r="A996" t="str">
        <f>T("   ML")</f>
        <v xml:space="preserve">   ML</v>
      </c>
      <c r="B996" t="str">
        <f>T("   Mali")</f>
        <v xml:space="preserve">   Mali</v>
      </c>
      <c r="C996">
        <v>1455000</v>
      </c>
      <c r="D996">
        <v>30</v>
      </c>
    </row>
    <row r="997" spans="1:4" x14ac:dyDescent="0.25">
      <c r="A997" t="str">
        <f>T("   TG")</f>
        <v xml:space="preserve">   TG</v>
      </c>
      <c r="B997" t="str">
        <f>T("   Togo")</f>
        <v xml:space="preserve">   Togo</v>
      </c>
      <c r="C997">
        <v>2520000</v>
      </c>
      <c r="D997">
        <v>4425</v>
      </c>
    </row>
    <row r="998" spans="1:4" x14ac:dyDescent="0.25">
      <c r="A998" t="str">
        <f>T("760200")</f>
        <v>760200</v>
      </c>
      <c r="B998" t="str">
        <f>T("Déchets et débris d'aluminium (sauf scories, mâchefer, etc., produits par la sidérurgie et contenant de l'aluminium récupérable sous forme de silicates, les déchets lingotés et autres formes brutes simil. en déchets ou débris d'aluminium fondus, et sauf c")</f>
        <v>Déchets et débris d'aluminium (sauf scories, mâchefer, etc., produits par la sidérurgie et contenant de l'aluminium récupérable sous forme de silicates, les déchets lingotés et autres formes brutes simil. en déchets ou débris d'aluminium fondus, et sauf c</v>
      </c>
    </row>
    <row r="999" spans="1:4" x14ac:dyDescent="0.25">
      <c r="A999" t="str">
        <f>T("   ZZZ_Monde")</f>
        <v xml:space="preserve">   ZZZ_Monde</v>
      </c>
      <c r="B999" t="str">
        <f>T("   ZZZ_Monde")</f>
        <v xml:space="preserve">   ZZZ_Monde</v>
      </c>
      <c r="C999">
        <v>53500000</v>
      </c>
      <c r="D999">
        <v>1070000</v>
      </c>
    </row>
    <row r="1000" spans="1:4" x14ac:dyDescent="0.25">
      <c r="A1000" t="str">
        <f>T("   CN")</f>
        <v xml:space="preserve">   CN</v>
      </c>
      <c r="B1000" t="str">
        <f>T("   Chine")</f>
        <v xml:space="preserve">   Chine</v>
      </c>
      <c r="C1000">
        <v>17000000</v>
      </c>
      <c r="D1000">
        <v>340000</v>
      </c>
    </row>
    <row r="1001" spans="1:4" x14ac:dyDescent="0.25">
      <c r="A1001" t="str">
        <f>T("   ID")</f>
        <v xml:space="preserve">   ID</v>
      </c>
      <c r="B1001" t="str">
        <f>T("   Indonésie")</f>
        <v xml:space="preserve">   Indonésie</v>
      </c>
      <c r="C1001">
        <v>1000000</v>
      </c>
      <c r="D1001">
        <v>20000</v>
      </c>
    </row>
    <row r="1002" spans="1:4" x14ac:dyDescent="0.25">
      <c r="A1002" t="str">
        <f>T("   IN")</f>
        <v xml:space="preserve">   IN</v>
      </c>
      <c r="B1002" t="str">
        <f>T("   Inde")</f>
        <v xml:space="preserve">   Inde</v>
      </c>
      <c r="C1002">
        <v>29000000</v>
      </c>
      <c r="D1002">
        <v>580000</v>
      </c>
    </row>
    <row r="1003" spans="1:4" x14ac:dyDescent="0.25">
      <c r="A1003" t="str">
        <f>T("   TN")</f>
        <v xml:space="preserve">   TN</v>
      </c>
      <c r="B1003" t="str">
        <f>T("   Tunisie")</f>
        <v xml:space="preserve">   Tunisie</v>
      </c>
      <c r="C1003">
        <v>1000000</v>
      </c>
      <c r="D1003">
        <v>20000</v>
      </c>
    </row>
    <row r="1004" spans="1:4" x14ac:dyDescent="0.25">
      <c r="A1004" t="str">
        <f>T("   VN")</f>
        <v xml:space="preserve">   VN</v>
      </c>
      <c r="B1004" t="str">
        <f>T("   Vietnam")</f>
        <v xml:space="preserve">   Vietnam</v>
      </c>
      <c r="C1004">
        <v>5500000</v>
      </c>
      <c r="D1004">
        <v>110000</v>
      </c>
    </row>
    <row r="1005" spans="1:4" x14ac:dyDescent="0.25">
      <c r="A1005" t="str">
        <f>T("760611")</f>
        <v>760611</v>
      </c>
      <c r="B1005" t="str">
        <f>T("TÔLES ET BANDES EN ALUMINIUM NON-ALLIÉ, D'UNE ÉPAISSEUR &gt; 0,2 MM, DE FORME CARRÉE OU RECTANGULAIRE (SAUF TÔLES ET BANDES DÉPLOYÉES)")</f>
        <v>TÔLES ET BANDES EN ALUMINIUM NON-ALLIÉ, D'UNE ÉPAISSEUR &gt; 0,2 MM, DE FORME CARRÉE OU RECTANGULAIRE (SAUF TÔLES ET BANDES DÉPLOYÉES)</v>
      </c>
    </row>
    <row r="1006" spans="1:4" x14ac:dyDescent="0.25">
      <c r="A1006" t="str">
        <f>T("   ZZZ_Monde")</f>
        <v xml:space="preserve">   ZZZ_Monde</v>
      </c>
      <c r="B1006" t="str">
        <f>T("   ZZZ_Monde")</f>
        <v xml:space="preserve">   ZZZ_Monde</v>
      </c>
      <c r="C1006">
        <v>148082854</v>
      </c>
      <c r="D1006">
        <v>100000</v>
      </c>
    </row>
    <row r="1007" spans="1:4" x14ac:dyDescent="0.25">
      <c r="A1007" t="str">
        <f>T("   BF")</f>
        <v xml:space="preserve">   BF</v>
      </c>
      <c r="B1007" t="str">
        <f>T("   Burkina Faso")</f>
        <v xml:space="preserve">   Burkina Faso</v>
      </c>
      <c r="C1007">
        <v>148082854</v>
      </c>
      <c r="D1007">
        <v>100000</v>
      </c>
    </row>
    <row r="1008" spans="1:4" x14ac:dyDescent="0.25">
      <c r="A1008" t="str">
        <f>T("760820")</f>
        <v>760820</v>
      </c>
      <c r="B1008" t="str">
        <f>T("Tubes et tuyaux en alliages d'aluminium (sauf profilés creux)")</f>
        <v>Tubes et tuyaux en alliages d'aluminium (sauf profilés creux)</v>
      </c>
    </row>
    <row r="1009" spans="1:4" x14ac:dyDescent="0.25">
      <c r="A1009" t="str">
        <f>T("   ZZZ_Monde")</f>
        <v xml:space="preserve">   ZZZ_Monde</v>
      </c>
      <c r="B1009" t="str">
        <f>T("   ZZZ_Monde")</f>
        <v xml:space="preserve">   ZZZ_Monde</v>
      </c>
      <c r="C1009">
        <v>1850000</v>
      </c>
      <c r="D1009">
        <v>180</v>
      </c>
    </row>
    <row r="1010" spans="1:4" x14ac:dyDescent="0.25">
      <c r="A1010" t="str">
        <f>T("   GA")</f>
        <v xml:space="preserve">   GA</v>
      </c>
      <c r="B1010" t="str">
        <f>T("   Gabon")</f>
        <v xml:space="preserve">   Gabon</v>
      </c>
      <c r="C1010">
        <v>1850000</v>
      </c>
      <c r="D1010">
        <v>180</v>
      </c>
    </row>
    <row r="1011" spans="1:4" x14ac:dyDescent="0.25">
      <c r="A1011" t="str">
        <f>T("761090")</f>
        <v>761090</v>
      </c>
      <c r="B1011" t="str">
        <f>T("Constructions et parties de constructions, en aluminium, n.d.a., ainsi que tôles, barres, profilés, tubes, tuyaux et simil., en aluminium, n.d.a; (sauf constructions préfabriquées du n° 9406, portes, fenêtres et leurs cadres, chambranles et seuils)")</f>
        <v>Constructions et parties de constructions, en aluminium, n.d.a., ainsi que tôles, barres, profilés, tubes, tuyaux et simil., en aluminium, n.d.a; (sauf constructions préfabriquées du n° 9406, portes, fenêtres et leurs cadres, chambranles et seuils)</v>
      </c>
    </row>
    <row r="1012" spans="1:4" x14ac:dyDescent="0.25">
      <c r="A1012" t="str">
        <f>T("   ZZZ_Monde")</f>
        <v xml:space="preserve">   ZZZ_Monde</v>
      </c>
      <c r="B1012" t="str">
        <f>T("   ZZZ_Monde")</f>
        <v xml:space="preserve">   ZZZ_Monde</v>
      </c>
      <c r="C1012">
        <v>810000</v>
      </c>
      <c r="D1012">
        <v>520</v>
      </c>
    </row>
    <row r="1013" spans="1:4" x14ac:dyDescent="0.25">
      <c r="A1013" t="str">
        <f>T("   GQ")</f>
        <v xml:space="preserve">   GQ</v>
      </c>
      <c r="B1013" t="str">
        <f>T("   Guinée Equatoriale")</f>
        <v xml:space="preserve">   Guinée Equatoriale</v>
      </c>
      <c r="C1013">
        <v>810000</v>
      </c>
      <c r="D1013">
        <v>520</v>
      </c>
    </row>
    <row r="1014" spans="1:4" x14ac:dyDescent="0.25">
      <c r="A1014" t="str">
        <f>T("820559")</f>
        <v>820559</v>
      </c>
      <c r="B1014" t="str">
        <f>T("Outils à main, y.c. -les diamants de vitrier-, en métaux communs, n.d.a.")</f>
        <v>Outils à main, y.c. -les diamants de vitrier-, en métaux communs, n.d.a.</v>
      </c>
    </row>
    <row r="1015" spans="1:4" x14ac:dyDescent="0.25">
      <c r="A1015" t="str">
        <f>T("   ZZZ_Monde")</f>
        <v xml:space="preserve">   ZZZ_Monde</v>
      </c>
      <c r="B1015" t="str">
        <f>T("   ZZZ_Monde")</f>
        <v xml:space="preserve">   ZZZ_Monde</v>
      </c>
      <c r="C1015">
        <v>4805857</v>
      </c>
      <c r="D1015">
        <v>2452</v>
      </c>
    </row>
    <row r="1016" spans="1:4" x14ac:dyDescent="0.25">
      <c r="A1016" t="str">
        <f>T("   GA")</f>
        <v xml:space="preserve">   GA</v>
      </c>
      <c r="B1016" t="str">
        <f>T("   Gabon")</f>
        <v xml:space="preserve">   Gabon</v>
      </c>
      <c r="C1016">
        <v>100000</v>
      </c>
      <c r="D1016">
        <v>1000</v>
      </c>
    </row>
    <row r="1017" spans="1:4" x14ac:dyDescent="0.25">
      <c r="A1017" t="str">
        <f>T("   GH")</f>
        <v xml:space="preserve">   GH</v>
      </c>
      <c r="B1017" t="str">
        <f>T("   Ghana")</f>
        <v xml:space="preserve">   Ghana</v>
      </c>
      <c r="C1017">
        <v>4705857</v>
      </c>
      <c r="D1017">
        <v>1452</v>
      </c>
    </row>
    <row r="1018" spans="1:4" x14ac:dyDescent="0.25">
      <c r="A1018" t="str">
        <f>T("820600")</f>
        <v>820600</v>
      </c>
      <c r="B1018" t="str">
        <f>T("Outils d'au moins deux du n° 8202 à 8205, conditionnés en assortiments pour la vente au détail")</f>
        <v>Outils d'au moins deux du n° 8202 à 8205, conditionnés en assortiments pour la vente au détail</v>
      </c>
    </row>
    <row r="1019" spans="1:4" x14ac:dyDescent="0.25">
      <c r="A1019" t="str">
        <f>T("   ZZZ_Monde")</f>
        <v xml:space="preserve">   ZZZ_Monde</v>
      </c>
      <c r="B1019" t="str">
        <f>T("   ZZZ_Monde")</f>
        <v xml:space="preserve">   ZZZ_Monde</v>
      </c>
      <c r="C1019">
        <v>147000</v>
      </c>
      <c r="D1019">
        <v>150</v>
      </c>
    </row>
    <row r="1020" spans="1:4" x14ac:dyDescent="0.25">
      <c r="A1020" t="str">
        <f>T("   GQ")</f>
        <v xml:space="preserve">   GQ</v>
      </c>
      <c r="B1020" t="str">
        <f>T("   Guinée Equatoriale")</f>
        <v xml:space="preserve">   Guinée Equatoriale</v>
      </c>
      <c r="C1020">
        <v>147000</v>
      </c>
      <c r="D1020">
        <v>150</v>
      </c>
    </row>
    <row r="1021" spans="1:4" x14ac:dyDescent="0.25">
      <c r="A1021" t="str">
        <f>T("820719")</f>
        <v>820719</v>
      </c>
      <c r="B1021" t="str">
        <f>T("Outils de forage ou de sondage, interchangeables, et leurs parties, avec partie travaillante en matières autres qu'en carbures métalliques frittés ou en cermets")</f>
        <v>Outils de forage ou de sondage, interchangeables, et leurs parties, avec partie travaillante en matières autres qu'en carbures métalliques frittés ou en cermets</v>
      </c>
    </row>
    <row r="1022" spans="1:4" x14ac:dyDescent="0.25">
      <c r="A1022" t="str">
        <f>T("   ZZZ_Monde")</f>
        <v xml:space="preserve">   ZZZ_Monde</v>
      </c>
      <c r="B1022" t="str">
        <f>T("   ZZZ_Monde")</f>
        <v xml:space="preserve">   ZZZ_Monde</v>
      </c>
      <c r="C1022">
        <v>17966400</v>
      </c>
      <c r="D1022">
        <v>58320</v>
      </c>
    </row>
    <row r="1023" spans="1:4" x14ac:dyDescent="0.25">
      <c r="A1023" t="str">
        <f>T("   FR")</f>
        <v xml:space="preserve">   FR</v>
      </c>
      <c r="B1023" t="str">
        <f>T("   France")</f>
        <v xml:space="preserve">   France</v>
      </c>
      <c r="C1023">
        <v>17966400</v>
      </c>
      <c r="D1023">
        <v>58320</v>
      </c>
    </row>
    <row r="1024" spans="1:4" x14ac:dyDescent="0.25">
      <c r="A1024" t="str">
        <f>T("820790")</f>
        <v>820790</v>
      </c>
      <c r="B1024" t="str">
        <f>T("Outils interchangeables pour outillage à main, mécanique ou non, ou pour machines-outils, n.d.a.")</f>
        <v>Outils interchangeables pour outillage à main, mécanique ou non, ou pour machines-outils, n.d.a.</v>
      </c>
    </row>
    <row r="1025" spans="1:4" x14ac:dyDescent="0.25">
      <c r="A1025" t="str">
        <f>T("   ZZZ_Monde")</f>
        <v xml:space="preserve">   ZZZ_Monde</v>
      </c>
      <c r="B1025" t="str">
        <f>T("   ZZZ_Monde")</f>
        <v xml:space="preserve">   ZZZ_Monde</v>
      </c>
      <c r="C1025">
        <v>1524451</v>
      </c>
      <c r="D1025">
        <v>768</v>
      </c>
    </row>
    <row r="1026" spans="1:4" x14ac:dyDescent="0.25">
      <c r="A1026" t="str">
        <f>T("   AE")</f>
        <v xml:space="preserve">   AE</v>
      </c>
      <c r="B1026" t="str">
        <f>T("   Emirats Arabes Unis")</f>
        <v xml:space="preserve">   Emirats Arabes Unis</v>
      </c>
      <c r="C1026">
        <v>1524451</v>
      </c>
      <c r="D1026">
        <v>768</v>
      </c>
    </row>
    <row r="1027" spans="1:4" x14ac:dyDescent="0.25">
      <c r="A1027" t="str">
        <f>T("821490")</f>
        <v>821490</v>
      </c>
      <c r="B1027" t="str">
        <f>T("Tondeuses de coiffeur et autres articles à couper, n.d.a., en métaux communs")</f>
        <v>Tondeuses de coiffeur et autres articles à couper, n.d.a., en métaux communs</v>
      </c>
    </row>
    <row r="1028" spans="1:4" x14ac:dyDescent="0.25">
      <c r="A1028" t="str">
        <f>T("   ZZZ_Monde")</f>
        <v xml:space="preserve">   ZZZ_Monde</v>
      </c>
      <c r="B1028" t="str">
        <f>T("   ZZZ_Monde")</f>
        <v xml:space="preserve">   ZZZ_Monde</v>
      </c>
      <c r="C1028">
        <v>2063650</v>
      </c>
      <c r="D1028">
        <v>192</v>
      </c>
    </row>
    <row r="1029" spans="1:4" x14ac:dyDescent="0.25">
      <c r="A1029" t="str">
        <f>T("   NG")</f>
        <v xml:space="preserve">   NG</v>
      </c>
      <c r="B1029" t="str">
        <f>T("   Nigéria")</f>
        <v xml:space="preserve">   Nigéria</v>
      </c>
      <c r="C1029">
        <v>2063650</v>
      </c>
      <c r="D1029">
        <v>192</v>
      </c>
    </row>
    <row r="1030" spans="1:4" x14ac:dyDescent="0.25">
      <c r="A1030" t="str">
        <f>T("821599")</f>
        <v>821599</v>
      </c>
      <c r="B1030" t="str">
        <f>T("Cuillers, fourchettes, louches, écumoires, pelles à tartes, couteaux spéciaux à poisson ou à beurre, pinces à sucre et articles simil., en métaux communs, ni argentés, ni dorés, ni platinés (sauf en assortiments et sauf cisailles à volaille et à homards)")</f>
        <v>Cuillers, fourchettes, louches, écumoires, pelles à tartes, couteaux spéciaux à poisson ou à beurre, pinces à sucre et articles simil., en métaux communs, ni argentés, ni dorés, ni platinés (sauf en assortiments et sauf cisailles à volaille et à homards)</v>
      </c>
    </row>
    <row r="1031" spans="1:4" x14ac:dyDescent="0.25">
      <c r="A1031" t="str">
        <f>T("   ZZZ_Monde")</f>
        <v xml:space="preserve">   ZZZ_Monde</v>
      </c>
      <c r="B1031" t="str">
        <f>T("   ZZZ_Monde")</f>
        <v xml:space="preserve">   ZZZ_Monde</v>
      </c>
      <c r="C1031">
        <v>234958750</v>
      </c>
      <c r="D1031">
        <v>12408</v>
      </c>
    </row>
    <row r="1032" spans="1:4" x14ac:dyDescent="0.25">
      <c r="A1032" t="str">
        <f>T("   BF")</f>
        <v xml:space="preserve">   BF</v>
      </c>
      <c r="B1032" t="str">
        <f>T("   Burkina Faso")</f>
        <v xml:space="preserve">   Burkina Faso</v>
      </c>
      <c r="C1032">
        <v>234958750</v>
      </c>
      <c r="D1032">
        <v>12408</v>
      </c>
    </row>
    <row r="1033" spans="1:4" x14ac:dyDescent="0.25">
      <c r="A1033" t="str">
        <f>T("830140")</f>
        <v>830140</v>
      </c>
      <c r="B1033" t="str">
        <f>T("Serrures et verrous, en métaux communs (autres que cadenas et serrures des types utilisés pour véhicules automobiles ou meubles)")</f>
        <v>Serrures et verrous, en métaux communs (autres que cadenas et serrures des types utilisés pour véhicules automobiles ou meubles)</v>
      </c>
    </row>
    <row r="1034" spans="1:4" x14ac:dyDescent="0.25">
      <c r="A1034" t="str">
        <f>T("   ZZZ_Monde")</f>
        <v xml:space="preserve">   ZZZ_Monde</v>
      </c>
      <c r="B1034" t="str">
        <f>T("   ZZZ_Monde")</f>
        <v xml:space="preserve">   ZZZ_Monde</v>
      </c>
      <c r="C1034">
        <v>144500</v>
      </c>
      <c r="D1034">
        <v>250</v>
      </c>
    </row>
    <row r="1035" spans="1:4" x14ac:dyDescent="0.25">
      <c r="A1035" t="str">
        <f>T("   GQ")</f>
        <v xml:space="preserve">   GQ</v>
      </c>
      <c r="B1035" t="str">
        <f>T("   Guinée Equatoriale")</f>
        <v xml:space="preserve">   Guinée Equatoriale</v>
      </c>
      <c r="C1035">
        <v>144500</v>
      </c>
      <c r="D1035">
        <v>250</v>
      </c>
    </row>
    <row r="1036" spans="1:4" x14ac:dyDescent="0.25">
      <c r="A1036" t="str">
        <f>T("830910")</f>
        <v>830910</v>
      </c>
      <c r="B1036" t="str">
        <f>T("Bouchons-couronnes en métaux communs")</f>
        <v>Bouchons-couronnes en métaux communs</v>
      </c>
    </row>
    <row r="1037" spans="1:4" x14ac:dyDescent="0.25">
      <c r="A1037" t="str">
        <f>T("   ZZZ_Monde")</f>
        <v xml:space="preserve">   ZZZ_Monde</v>
      </c>
      <c r="B1037" t="str">
        <f>T("   ZZZ_Monde")</f>
        <v xml:space="preserve">   ZZZ_Monde</v>
      </c>
      <c r="C1037">
        <v>1056000</v>
      </c>
      <c r="D1037">
        <v>1583</v>
      </c>
    </row>
    <row r="1038" spans="1:4" x14ac:dyDescent="0.25">
      <c r="A1038" t="str">
        <f>T("   TG")</f>
        <v xml:space="preserve">   TG</v>
      </c>
      <c r="B1038" t="str">
        <f>T("   Togo")</f>
        <v xml:space="preserve">   Togo</v>
      </c>
      <c r="C1038">
        <v>1056000</v>
      </c>
      <c r="D1038">
        <v>1583</v>
      </c>
    </row>
    <row r="1039" spans="1:4" x14ac:dyDescent="0.25">
      <c r="A1039" t="str">
        <f>T("831130")</f>
        <v>831130</v>
      </c>
      <c r="B1039" t="str">
        <f>T("Baguettes enrobées et fils fourrés en métaux communs, pour brasage ou soudage à la flamme (à l'excl. des fils et baguettes à âme décapante chez lesquels le métal de brasage, décapants et fondants non compris, contient &gt;= 2% en poids d'un métal précieux)")</f>
        <v>Baguettes enrobées et fils fourrés en métaux communs, pour brasage ou soudage à la flamme (à l'excl. des fils et baguettes à âme décapante chez lesquels le métal de brasage, décapants et fondants non compris, contient &gt;= 2% en poids d'un métal précieux)</v>
      </c>
    </row>
    <row r="1040" spans="1:4" x14ac:dyDescent="0.25">
      <c r="A1040" t="str">
        <f>T("   ZZZ_Monde")</f>
        <v xml:space="preserve">   ZZZ_Monde</v>
      </c>
      <c r="B1040" t="str">
        <f>T("   ZZZ_Monde")</f>
        <v xml:space="preserve">   ZZZ_Monde</v>
      </c>
      <c r="C1040">
        <v>960000</v>
      </c>
      <c r="D1040">
        <v>1600</v>
      </c>
    </row>
    <row r="1041" spans="1:4" x14ac:dyDescent="0.25">
      <c r="A1041" t="str">
        <f>T("   CI")</f>
        <v xml:space="preserve">   CI</v>
      </c>
      <c r="B1041" t="str">
        <f>T("   Côte d'Ivoire")</f>
        <v xml:space="preserve">   Côte d'Ivoire</v>
      </c>
      <c r="C1041">
        <v>960000</v>
      </c>
      <c r="D1041">
        <v>1600</v>
      </c>
    </row>
    <row r="1042" spans="1:4" x14ac:dyDescent="0.25">
      <c r="A1042" t="str">
        <f>T("831190")</f>
        <v>831190</v>
      </c>
      <c r="B1042" t="str">
        <f>T("Fils, baguettes, tubes, plaques, électrodes et articles simil. en métaux communs ou en carbures métalliques, enrobés ou fourrés de décapants ou de fondants, pour brasage, soudage ou dépôt de métal ou de carbures métalliques, n.d.a., ainsi que fils et bagu")</f>
        <v>Fils, baguettes, tubes, plaques, électrodes et articles simil. en métaux communs ou en carbures métalliques, enrobés ou fourrés de décapants ou de fondants, pour brasage, soudage ou dépôt de métal ou de carbures métalliques, n.d.a., ainsi que fils et bagu</v>
      </c>
    </row>
    <row r="1043" spans="1:4" x14ac:dyDescent="0.25">
      <c r="A1043" t="str">
        <f>T("   ZZZ_Monde")</f>
        <v xml:space="preserve">   ZZZ_Monde</v>
      </c>
      <c r="B1043" t="str">
        <f>T("   ZZZ_Monde")</f>
        <v xml:space="preserve">   ZZZ_Monde</v>
      </c>
      <c r="C1043">
        <v>200000</v>
      </c>
      <c r="D1043">
        <v>1000</v>
      </c>
    </row>
    <row r="1044" spans="1:4" x14ac:dyDescent="0.25">
      <c r="A1044" t="str">
        <f>T("   CG")</f>
        <v xml:space="preserve">   CG</v>
      </c>
      <c r="B1044" t="str">
        <f>T("   Congo (Brazzaville)")</f>
        <v xml:space="preserve">   Congo (Brazzaville)</v>
      </c>
      <c r="C1044">
        <v>200000</v>
      </c>
      <c r="D1044">
        <v>1000</v>
      </c>
    </row>
    <row r="1045" spans="1:4" x14ac:dyDescent="0.25">
      <c r="A1045" t="str">
        <f>T("840590")</f>
        <v>840590</v>
      </c>
      <c r="B1045" t="str">
        <f>T("Parties des générateurs de gaz à l'air ou de gaz à l'eau et des générateurs d'acétylène ou des générateurs simil. de gaz par procédé à l'eau, n.d.a.")</f>
        <v>Parties des générateurs de gaz à l'air ou de gaz à l'eau et des générateurs d'acétylène ou des générateurs simil. de gaz par procédé à l'eau, n.d.a.</v>
      </c>
    </row>
    <row r="1046" spans="1:4" x14ac:dyDescent="0.25">
      <c r="A1046" t="str">
        <f>T("   ZZZ_Monde")</f>
        <v xml:space="preserve">   ZZZ_Monde</v>
      </c>
      <c r="B1046" t="str">
        <f>T("   ZZZ_Monde")</f>
        <v xml:space="preserve">   ZZZ_Monde</v>
      </c>
      <c r="C1046">
        <v>1364437</v>
      </c>
      <c r="D1046">
        <v>16800</v>
      </c>
    </row>
    <row r="1047" spans="1:4" x14ac:dyDescent="0.25">
      <c r="A1047" t="str">
        <f>T("   GN")</f>
        <v xml:space="preserve">   GN</v>
      </c>
      <c r="B1047" t="str">
        <f>T("   Guinée")</f>
        <v xml:space="preserve">   Guinée</v>
      </c>
      <c r="C1047">
        <v>1364437</v>
      </c>
      <c r="D1047">
        <v>16800</v>
      </c>
    </row>
    <row r="1048" spans="1:4" x14ac:dyDescent="0.25">
      <c r="A1048" t="str">
        <f>T("840734")</f>
        <v>840734</v>
      </c>
      <c r="B1048" t="s">
        <v>14</v>
      </c>
    </row>
    <row r="1049" spans="1:4" x14ac:dyDescent="0.25">
      <c r="A1049" t="str">
        <f>T("   ZZZ_Monde")</f>
        <v xml:space="preserve">   ZZZ_Monde</v>
      </c>
      <c r="B1049" t="str">
        <f>T("   ZZZ_Monde")</f>
        <v xml:space="preserve">   ZZZ_Monde</v>
      </c>
      <c r="C1049">
        <v>1370000</v>
      </c>
      <c r="D1049">
        <v>260</v>
      </c>
    </row>
    <row r="1050" spans="1:4" x14ac:dyDescent="0.25">
      <c r="A1050" t="str">
        <f>T("   GQ")</f>
        <v xml:space="preserve">   GQ</v>
      </c>
      <c r="B1050" t="str">
        <f>T("   Guinée Equatoriale")</f>
        <v xml:space="preserve">   Guinée Equatoriale</v>
      </c>
      <c r="C1050">
        <v>1370000</v>
      </c>
      <c r="D1050">
        <v>260</v>
      </c>
    </row>
    <row r="1051" spans="1:4" x14ac:dyDescent="0.25">
      <c r="A1051" t="str">
        <f>T("840820")</f>
        <v>840820</v>
      </c>
      <c r="B1051" t="s">
        <v>15</v>
      </c>
    </row>
    <row r="1052" spans="1:4" x14ac:dyDescent="0.25">
      <c r="A1052" t="str">
        <f>T("   ZZZ_Monde")</f>
        <v xml:space="preserve">   ZZZ_Monde</v>
      </c>
      <c r="B1052" t="str">
        <f>T("   ZZZ_Monde")</f>
        <v xml:space="preserve">   ZZZ_Monde</v>
      </c>
      <c r="C1052">
        <v>900000</v>
      </c>
      <c r="D1052">
        <v>1200</v>
      </c>
    </row>
    <row r="1053" spans="1:4" x14ac:dyDescent="0.25">
      <c r="A1053" t="str">
        <f>T("   CD")</f>
        <v xml:space="preserve">   CD</v>
      </c>
      <c r="B1053" t="str">
        <f>T("   Congo, République Démocratique")</f>
        <v xml:space="preserve">   Congo, République Démocratique</v>
      </c>
      <c r="C1053">
        <v>300000</v>
      </c>
      <c r="D1053">
        <v>1000</v>
      </c>
    </row>
    <row r="1054" spans="1:4" x14ac:dyDescent="0.25">
      <c r="A1054" t="str">
        <f>T("   NE")</f>
        <v xml:space="preserve">   NE</v>
      </c>
      <c r="B1054" t="str">
        <f>T("   Niger")</f>
        <v xml:space="preserve">   Niger</v>
      </c>
      <c r="C1054">
        <v>600000</v>
      </c>
      <c r="D1054">
        <v>200</v>
      </c>
    </row>
    <row r="1055" spans="1:4" x14ac:dyDescent="0.25">
      <c r="A1055" t="str">
        <f>T("840890")</f>
        <v>840890</v>
      </c>
      <c r="B1055" t="s">
        <v>16</v>
      </c>
    </row>
    <row r="1056" spans="1:4" x14ac:dyDescent="0.25">
      <c r="A1056" t="str">
        <f>T("   ZZZ_Monde")</f>
        <v xml:space="preserve">   ZZZ_Monde</v>
      </c>
      <c r="B1056" t="str">
        <f>T("   ZZZ_Monde")</f>
        <v xml:space="preserve">   ZZZ_Monde</v>
      </c>
      <c r="C1056">
        <v>87978315</v>
      </c>
      <c r="D1056">
        <v>9107</v>
      </c>
    </row>
    <row r="1057" spans="1:4" x14ac:dyDescent="0.25">
      <c r="A1057" t="str">
        <f>T("   BE")</f>
        <v xml:space="preserve">   BE</v>
      </c>
      <c r="B1057" t="str">
        <f>T("   Belgique")</f>
        <v xml:space="preserve">   Belgique</v>
      </c>
      <c r="C1057">
        <v>86478315</v>
      </c>
      <c r="D1057">
        <v>7707</v>
      </c>
    </row>
    <row r="1058" spans="1:4" x14ac:dyDescent="0.25">
      <c r="A1058" t="str">
        <f>T("   FR")</f>
        <v xml:space="preserve">   FR</v>
      </c>
      <c r="B1058" t="str">
        <f>T("   France")</f>
        <v xml:space="preserve">   France</v>
      </c>
      <c r="C1058">
        <v>1200000</v>
      </c>
      <c r="D1058">
        <v>1200</v>
      </c>
    </row>
    <row r="1059" spans="1:4" x14ac:dyDescent="0.25">
      <c r="A1059" t="str">
        <f>T("   GN")</f>
        <v xml:space="preserve">   GN</v>
      </c>
      <c r="B1059" t="str">
        <f>T("   Guinée")</f>
        <v xml:space="preserve">   Guinée</v>
      </c>
      <c r="C1059">
        <v>300000</v>
      </c>
      <c r="D1059">
        <v>200</v>
      </c>
    </row>
    <row r="1060" spans="1:4" x14ac:dyDescent="0.25">
      <c r="A1060" t="str">
        <f>T("841290")</f>
        <v>841290</v>
      </c>
      <c r="B1060" t="str">
        <f>T("PARTIES DE MOTEURS ET MACHINES MOTRICES NON-ÉLECTRIQUES, N.D.A.")</f>
        <v>PARTIES DE MOTEURS ET MACHINES MOTRICES NON-ÉLECTRIQUES, N.D.A.</v>
      </c>
    </row>
    <row r="1061" spans="1:4" x14ac:dyDescent="0.25">
      <c r="A1061" t="str">
        <f>T("   ZZZ_Monde")</f>
        <v xml:space="preserve">   ZZZ_Monde</v>
      </c>
      <c r="B1061" t="str">
        <f>T("   ZZZ_Monde")</f>
        <v xml:space="preserve">   ZZZ_Monde</v>
      </c>
      <c r="C1061">
        <v>13165827</v>
      </c>
      <c r="D1061">
        <v>10452</v>
      </c>
    </row>
    <row r="1062" spans="1:4" x14ac:dyDescent="0.25">
      <c r="A1062" t="str">
        <f>T("   NG")</f>
        <v xml:space="preserve">   NG</v>
      </c>
      <c r="B1062" t="str">
        <f>T("   Nigéria")</f>
        <v xml:space="preserve">   Nigéria</v>
      </c>
      <c r="C1062">
        <v>13165827</v>
      </c>
      <c r="D1062">
        <v>10452</v>
      </c>
    </row>
    <row r="1063" spans="1:4" x14ac:dyDescent="0.25">
      <c r="A1063" t="str">
        <f>T("841319")</f>
        <v>841319</v>
      </c>
      <c r="B1063" t="str">
        <f>T("Pompes pour liquides, avec dispositif mesureur ou conçues pour en comporter (sauf pompes pour la distribution de carburants ou lubrifiants, des types utilisés dans les stations-service ou les garages)")</f>
        <v>Pompes pour liquides, avec dispositif mesureur ou conçues pour en comporter (sauf pompes pour la distribution de carburants ou lubrifiants, des types utilisés dans les stations-service ou les garages)</v>
      </c>
    </row>
    <row r="1064" spans="1:4" x14ac:dyDescent="0.25">
      <c r="A1064" t="str">
        <f>T("   ZZZ_Monde")</f>
        <v xml:space="preserve">   ZZZ_Monde</v>
      </c>
      <c r="B1064" t="str">
        <f>T("   ZZZ_Monde")</f>
        <v xml:space="preserve">   ZZZ_Monde</v>
      </c>
      <c r="C1064">
        <v>8480648</v>
      </c>
      <c r="D1064">
        <v>6080</v>
      </c>
    </row>
    <row r="1065" spans="1:4" x14ac:dyDescent="0.25">
      <c r="A1065" t="str">
        <f>T("   TG")</f>
        <v xml:space="preserve">   TG</v>
      </c>
      <c r="B1065" t="str">
        <f>T("   Togo")</f>
        <v xml:space="preserve">   Togo</v>
      </c>
      <c r="C1065">
        <v>8480648</v>
      </c>
      <c r="D1065">
        <v>6080</v>
      </c>
    </row>
    <row r="1066" spans="1:4" x14ac:dyDescent="0.25">
      <c r="A1066" t="str">
        <f>T("841340")</f>
        <v>841340</v>
      </c>
      <c r="B1066" t="str">
        <f>T("Pompes à béton")</f>
        <v>Pompes à béton</v>
      </c>
    </row>
    <row r="1067" spans="1:4" x14ac:dyDescent="0.25">
      <c r="A1067" t="str">
        <f>T("   ZZZ_Monde")</f>
        <v xml:space="preserve">   ZZZ_Monde</v>
      </c>
      <c r="B1067" t="str">
        <f>T("   ZZZ_Monde")</f>
        <v xml:space="preserve">   ZZZ_Monde</v>
      </c>
      <c r="C1067">
        <v>30645300</v>
      </c>
      <c r="D1067">
        <v>82952</v>
      </c>
    </row>
    <row r="1068" spans="1:4" x14ac:dyDescent="0.25">
      <c r="A1068" t="str">
        <f>T("   FR")</f>
        <v xml:space="preserve">   FR</v>
      </c>
      <c r="B1068" t="str">
        <f>T("   France")</f>
        <v xml:space="preserve">   France</v>
      </c>
      <c r="C1068">
        <v>30645300</v>
      </c>
      <c r="D1068">
        <v>82952</v>
      </c>
    </row>
    <row r="1069" spans="1:4" x14ac:dyDescent="0.25">
      <c r="A1069" t="str">
        <f>T("841381")</f>
        <v>841381</v>
      </c>
      <c r="B1069" t="str">
        <f>T("Pompes pour liquides à moteur (sauf pompes à dispositif mesureur ou conçues pour en comporter du n° 8413.11 ou 8413.19, pompes à carburant, à huile ou à liquide de refroidissement pour moteurs à allumage par étincelles ou par compression, pompes à béton,")</f>
        <v>Pompes pour liquides à moteur (sauf pompes à dispositif mesureur ou conçues pour en comporter du n° 8413.11 ou 8413.19, pompes à carburant, à huile ou à liquide de refroidissement pour moteurs à allumage par étincelles ou par compression, pompes à béton,</v>
      </c>
    </row>
    <row r="1070" spans="1:4" x14ac:dyDescent="0.25">
      <c r="A1070" t="str">
        <f>T("   ZZZ_Monde")</f>
        <v xml:space="preserve">   ZZZ_Monde</v>
      </c>
      <c r="B1070" t="str">
        <f>T("   ZZZ_Monde")</f>
        <v xml:space="preserve">   ZZZ_Monde</v>
      </c>
      <c r="C1070">
        <v>9295452</v>
      </c>
      <c r="D1070">
        <v>6690</v>
      </c>
    </row>
    <row r="1071" spans="1:4" x14ac:dyDescent="0.25">
      <c r="A1071" t="str">
        <f>T("   ML")</f>
        <v xml:space="preserve">   ML</v>
      </c>
      <c r="B1071" t="str">
        <f>T("   Mali")</f>
        <v xml:space="preserve">   Mali</v>
      </c>
      <c r="C1071">
        <v>8815446</v>
      </c>
      <c r="D1071">
        <v>1690</v>
      </c>
    </row>
    <row r="1072" spans="1:4" x14ac:dyDescent="0.25">
      <c r="A1072" t="str">
        <f>T("   TG")</f>
        <v xml:space="preserve">   TG</v>
      </c>
      <c r="B1072" t="str">
        <f>T("   Togo")</f>
        <v xml:space="preserve">   Togo</v>
      </c>
      <c r="C1072">
        <v>480006</v>
      </c>
      <c r="D1072">
        <v>5000</v>
      </c>
    </row>
    <row r="1073" spans="1:4" x14ac:dyDescent="0.25">
      <c r="A1073" t="str">
        <f>T("841382")</f>
        <v>841382</v>
      </c>
      <c r="B1073" t="str">
        <f>T("Elévateurs à liquides (à l'excl. des pompes)")</f>
        <v>Elévateurs à liquides (à l'excl. des pompes)</v>
      </c>
    </row>
    <row r="1074" spans="1:4" x14ac:dyDescent="0.25">
      <c r="A1074" t="str">
        <f>T("   ZZZ_Monde")</f>
        <v xml:space="preserve">   ZZZ_Monde</v>
      </c>
      <c r="B1074" t="str">
        <f>T("   ZZZ_Monde")</f>
        <v xml:space="preserve">   ZZZ_Monde</v>
      </c>
      <c r="C1074">
        <v>27859234</v>
      </c>
      <c r="D1074">
        <v>14843</v>
      </c>
    </row>
    <row r="1075" spans="1:4" x14ac:dyDescent="0.25">
      <c r="A1075" t="str">
        <f>T("   FR")</f>
        <v xml:space="preserve">   FR</v>
      </c>
      <c r="B1075" t="str">
        <f>T("   France")</f>
        <v xml:space="preserve">   France</v>
      </c>
      <c r="C1075">
        <v>23859234</v>
      </c>
      <c r="D1075">
        <v>4373</v>
      </c>
    </row>
    <row r="1076" spans="1:4" x14ac:dyDescent="0.25">
      <c r="A1076" t="str">
        <f>T("   TG")</f>
        <v xml:space="preserve">   TG</v>
      </c>
      <c r="B1076" t="str">
        <f>T("   Togo")</f>
        <v xml:space="preserve">   Togo</v>
      </c>
      <c r="C1076">
        <v>4000000</v>
      </c>
      <c r="D1076">
        <v>10470</v>
      </c>
    </row>
    <row r="1077" spans="1:4" x14ac:dyDescent="0.25">
      <c r="A1077" t="str">
        <f>T("841391")</f>
        <v>841391</v>
      </c>
      <c r="B1077" t="str">
        <f>T("Parties de pompes pour liquides, n.d.a.")</f>
        <v>Parties de pompes pour liquides, n.d.a.</v>
      </c>
    </row>
    <row r="1078" spans="1:4" x14ac:dyDescent="0.25">
      <c r="A1078" t="str">
        <f>T("   ZZZ_Monde")</f>
        <v xml:space="preserve">   ZZZ_Monde</v>
      </c>
      <c r="B1078" t="str">
        <f>T("   ZZZ_Monde")</f>
        <v xml:space="preserve">   ZZZ_Monde</v>
      </c>
      <c r="C1078">
        <v>1393842</v>
      </c>
      <c r="D1078">
        <v>4810</v>
      </c>
    </row>
    <row r="1079" spans="1:4" x14ac:dyDescent="0.25">
      <c r="A1079" t="str">
        <f>T("   DE")</f>
        <v xml:space="preserve">   DE</v>
      </c>
      <c r="B1079" t="str">
        <f>T("   Allemagne")</f>
        <v xml:space="preserve">   Allemagne</v>
      </c>
      <c r="C1079">
        <v>1193842</v>
      </c>
      <c r="D1079">
        <v>810</v>
      </c>
    </row>
    <row r="1080" spans="1:4" x14ac:dyDescent="0.25">
      <c r="A1080" t="str">
        <f>T("   GA")</f>
        <v xml:space="preserve">   GA</v>
      </c>
      <c r="B1080" t="str">
        <f>T("   Gabon")</f>
        <v xml:space="preserve">   Gabon</v>
      </c>
      <c r="C1080">
        <v>200000</v>
      </c>
      <c r="D1080">
        <v>4000</v>
      </c>
    </row>
    <row r="1081" spans="1:4" x14ac:dyDescent="0.25">
      <c r="A1081" t="str">
        <f>T("841430")</f>
        <v>841430</v>
      </c>
      <c r="B1081" t="str">
        <f>T("Compresseurs des types utilisés pour équipements frigorifiques")</f>
        <v>Compresseurs des types utilisés pour équipements frigorifiques</v>
      </c>
    </row>
    <row r="1082" spans="1:4" x14ac:dyDescent="0.25">
      <c r="A1082" t="str">
        <f>T("   ZZZ_Monde")</f>
        <v xml:space="preserve">   ZZZ_Monde</v>
      </c>
      <c r="B1082" t="str">
        <f>T("   ZZZ_Monde")</f>
        <v xml:space="preserve">   ZZZ_Monde</v>
      </c>
      <c r="C1082">
        <v>459172</v>
      </c>
      <c r="D1082">
        <v>1881</v>
      </c>
    </row>
    <row r="1083" spans="1:4" x14ac:dyDescent="0.25">
      <c r="A1083" t="str">
        <f>T("   GN")</f>
        <v xml:space="preserve">   GN</v>
      </c>
      <c r="B1083" t="str">
        <f>T("   Guinée")</f>
        <v xml:space="preserve">   Guinée</v>
      </c>
      <c r="C1083">
        <v>459172</v>
      </c>
      <c r="D1083">
        <v>1881</v>
      </c>
    </row>
    <row r="1084" spans="1:4" x14ac:dyDescent="0.25">
      <c r="A1084" t="str">
        <f>T("841440")</f>
        <v>841440</v>
      </c>
      <c r="B1084" t="str">
        <f>T("Compresseurs d'air montés sur châssis à roues et remorquables")</f>
        <v>Compresseurs d'air montés sur châssis à roues et remorquables</v>
      </c>
    </row>
    <row r="1085" spans="1:4" x14ac:dyDescent="0.25">
      <c r="A1085" t="str">
        <f>T("   ZZZ_Monde")</f>
        <v xml:space="preserve">   ZZZ_Monde</v>
      </c>
      <c r="B1085" t="str">
        <f>T("   ZZZ_Monde")</f>
        <v xml:space="preserve">   ZZZ_Monde</v>
      </c>
      <c r="C1085">
        <v>6852674</v>
      </c>
      <c r="D1085">
        <v>2900</v>
      </c>
    </row>
    <row r="1086" spans="1:4" x14ac:dyDescent="0.25">
      <c r="A1086" t="str">
        <f>T("   GA")</f>
        <v xml:space="preserve">   GA</v>
      </c>
      <c r="B1086" t="str">
        <f>T("   Gabon")</f>
        <v xml:space="preserve">   Gabon</v>
      </c>
      <c r="C1086">
        <v>1237000</v>
      </c>
      <c r="D1086">
        <v>2000</v>
      </c>
    </row>
    <row r="1087" spans="1:4" x14ac:dyDescent="0.25">
      <c r="A1087" t="str">
        <f>T("   GH")</f>
        <v xml:space="preserve">   GH</v>
      </c>
      <c r="B1087" t="str">
        <f>T("   Ghana")</f>
        <v xml:space="preserve">   Ghana</v>
      </c>
      <c r="C1087">
        <v>5615674</v>
      </c>
      <c r="D1087">
        <v>900</v>
      </c>
    </row>
    <row r="1088" spans="1:4" x14ac:dyDescent="0.25">
      <c r="A1088" t="str">
        <f>T("841459")</f>
        <v>841459</v>
      </c>
      <c r="B1088" t="str">
        <f>T("Ventilateurs (sauf ventilateurs de table, de sol, muraux, plafonniers, de toitures ou de fenêtres, à moteur électrique incorporé, d'une puissance &lt;= 125 W)")</f>
        <v>Ventilateurs (sauf ventilateurs de table, de sol, muraux, plafonniers, de toitures ou de fenêtres, à moteur électrique incorporé, d'une puissance &lt;= 125 W)</v>
      </c>
    </row>
    <row r="1089" spans="1:4" x14ac:dyDescent="0.25">
      <c r="A1089" t="str">
        <f>T("   ZZZ_Monde")</f>
        <v xml:space="preserve">   ZZZ_Monde</v>
      </c>
      <c r="B1089" t="str">
        <f>T("   ZZZ_Monde")</f>
        <v xml:space="preserve">   ZZZ_Monde</v>
      </c>
      <c r="C1089">
        <v>1500000</v>
      </c>
      <c r="D1089">
        <v>1375</v>
      </c>
    </row>
    <row r="1090" spans="1:4" x14ac:dyDescent="0.25">
      <c r="A1090" t="str">
        <f>T("   TG")</f>
        <v xml:space="preserve">   TG</v>
      </c>
      <c r="B1090" t="str">
        <f>T("   Togo")</f>
        <v xml:space="preserve">   Togo</v>
      </c>
      <c r="C1090">
        <v>1500000</v>
      </c>
      <c r="D1090">
        <v>1375</v>
      </c>
    </row>
    <row r="1091" spans="1:4" x14ac:dyDescent="0.25">
      <c r="A1091" t="str">
        <f>T("841510")</f>
        <v>841510</v>
      </c>
      <c r="B1091" t="s">
        <v>17</v>
      </c>
    </row>
    <row r="1092" spans="1:4" x14ac:dyDescent="0.25">
      <c r="A1092" t="str">
        <f>T("   ZZZ_Monde")</f>
        <v xml:space="preserve">   ZZZ_Monde</v>
      </c>
      <c r="B1092" t="str">
        <f>T("   ZZZ_Monde")</f>
        <v xml:space="preserve">   ZZZ_Monde</v>
      </c>
      <c r="C1092">
        <v>113176110</v>
      </c>
      <c r="D1092">
        <v>31380</v>
      </c>
    </row>
    <row r="1093" spans="1:4" x14ac:dyDescent="0.25">
      <c r="A1093" t="str">
        <f>T("   GN")</f>
        <v xml:space="preserve">   GN</v>
      </c>
      <c r="B1093" t="str">
        <f>T("   Guinée")</f>
        <v xml:space="preserve">   Guinée</v>
      </c>
      <c r="C1093">
        <v>530000</v>
      </c>
      <c r="D1093">
        <v>280</v>
      </c>
    </row>
    <row r="1094" spans="1:4" x14ac:dyDescent="0.25">
      <c r="A1094" t="str">
        <f>T("   NE")</f>
        <v xml:space="preserve">   NE</v>
      </c>
      <c r="B1094" t="str">
        <f>T("   Niger")</f>
        <v xml:space="preserve">   Niger</v>
      </c>
      <c r="C1094">
        <v>700000</v>
      </c>
      <c r="D1094">
        <v>150</v>
      </c>
    </row>
    <row r="1095" spans="1:4" x14ac:dyDescent="0.25">
      <c r="A1095" t="str">
        <f>T("   TG")</f>
        <v xml:space="preserve">   TG</v>
      </c>
      <c r="B1095" t="str">
        <f>T("   Togo")</f>
        <v xml:space="preserve">   Togo</v>
      </c>
      <c r="C1095">
        <v>111946110</v>
      </c>
      <c r="D1095">
        <v>30950</v>
      </c>
    </row>
    <row r="1096" spans="1:4" x14ac:dyDescent="0.25">
      <c r="A1096" t="str">
        <f>T("841810")</f>
        <v>841810</v>
      </c>
      <c r="B1096" t="str">
        <f>T("Réfrigérateurs et congélateurs-conservateurs combinés, avec portes extérieures séparées")</f>
        <v>Réfrigérateurs et congélateurs-conservateurs combinés, avec portes extérieures séparées</v>
      </c>
    </row>
    <row r="1097" spans="1:4" x14ac:dyDescent="0.25">
      <c r="A1097" t="str">
        <f>T("   ZZZ_Monde")</f>
        <v xml:space="preserve">   ZZZ_Monde</v>
      </c>
      <c r="B1097" t="str">
        <f>T("   ZZZ_Monde")</f>
        <v xml:space="preserve">   ZZZ_Monde</v>
      </c>
      <c r="C1097">
        <v>20264779</v>
      </c>
      <c r="D1097">
        <v>4690</v>
      </c>
    </row>
    <row r="1098" spans="1:4" x14ac:dyDescent="0.25">
      <c r="A1098" t="str">
        <f>T("   TG")</f>
        <v xml:space="preserve">   TG</v>
      </c>
      <c r="B1098" t="str">
        <f>T("   Togo")</f>
        <v xml:space="preserve">   Togo</v>
      </c>
      <c r="C1098">
        <v>20264779</v>
      </c>
      <c r="D1098">
        <v>4690</v>
      </c>
    </row>
    <row r="1099" spans="1:4" x14ac:dyDescent="0.25">
      <c r="A1099" t="str">
        <f>T("841829")</f>
        <v>841829</v>
      </c>
      <c r="B1099" t="str">
        <f>T("Réfrigérateurs ménagers à absorption, non-électriques")</f>
        <v>Réfrigérateurs ménagers à absorption, non-électriques</v>
      </c>
    </row>
    <row r="1100" spans="1:4" x14ac:dyDescent="0.25">
      <c r="A1100" t="str">
        <f>T("   ZZZ_Monde")</f>
        <v xml:space="preserve">   ZZZ_Monde</v>
      </c>
      <c r="B1100" t="str">
        <f>T("   ZZZ_Monde")</f>
        <v xml:space="preserve">   ZZZ_Monde</v>
      </c>
      <c r="C1100">
        <v>16870911</v>
      </c>
      <c r="D1100">
        <v>11800</v>
      </c>
    </row>
    <row r="1101" spans="1:4" x14ac:dyDescent="0.25">
      <c r="A1101" t="str">
        <f>T("   LB")</f>
        <v xml:space="preserve">   LB</v>
      </c>
      <c r="B1101" t="str">
        <f>T("   Liban")</f>
        <v xml:space="preserve">   Liban</v>
      </c>
      <c r="C1101">
        <v>1500366</v>
      </c>
      <c r="D1101">
        <v>1000</v>
      </c>
    </row>
    <row r="1102" spans="1:4" x14ac:dyDescent="0.25">
      <c r="A1102" t="str">
        <f>T("   SN")</f>
        <v xml:space="preserve">   SN</v>
      </c>
      <c r="B1102" t="str">
        <f>T("   Sénégal")</f>
        <v xml:space="preserve">   Sénégal</v>
      </c>
      <c r="C1102">
        <v>3025000</v>
      </c>
      <c r="D1102">
        <v>6000</v>
      </c>
    </row>
    <row r="1103" spans="1:4" x14ac:dyDescent="0.25">
      <c r="A1103" t="str">
        <f>T("   TG")</f>
        <v xml:space="preserve">   TG</v>
      </c>
      <c r="B1103" t="str">
        <f>T("   Togo")</f>
        <v xml:space="preserve">   Togo</v>
      </c>
      <c r="C1103">
        <v>12345545</v>
      </c>
      <c r="D1103">
        <v>4800</v>
      </c>
    </row>
    <row r="1104" spans="1:4" x14ac:dyDescent="0.25">
      <c r="A1104" t="str">
        <f>T("841861")</f>
        <v>841861</v>
      </c>
      <c r="B1104" t="str">
        <f>T("Groupes à compression pour la production du froid, dont le condenseur est constitué par un échangeur de chaleur")</f>
        <v>Groupes à compression pour la production du froid, dont le condenseur est constitué par un échangeur de chaleur</v>
      </c>
    </row>
    <row r="1105" spans="1:4" x14ac:dyDescent="0.25">
      <c r="A1105" t="str">
        <f>T("   ZZZ_Monde")</f>
        <v xml:space="preserve">   ZZZ_Monde</v>
      </c>
      <c r="B1105" t="str">
        <f>T("   ZZZ_Monde")</f>
        <v xml:space="preserve">   ZZZ_Monde</v>
      </c>
      <c r="C1105">
        <v>12319202</v>
      </c>
      <c r="D1105">
        <v>681</v>
      </c>
    </row>
    <row r="1106" spans="1:4" x14ac:dyDescent="0.25">
      <c r="A1106" t="str">
        <f>T("   NG")</f>
        <v xml:space="preserve">   NG</v>
      </c>
      <c r="B1106" t="str">
        <f>T("   Nigéria")</f>
        <v xml:space="preserve">   Nigéria</v>
      </c>
      <c r="C1106">
        <v>12319202</v>
      </c>
      <c r="D1106">
        <v>681</v>
      </c>
    </row>
    <row r="1107" spans="1:4" x14ac:dyDescent="0.25">
      <c r="A1107" t="str">
        <f>T("842519")</f>
        <v>842519</v>
      </c>
      <c r="B1107" t="str">
        <f>T("Palans autres qu'à moteur électrique")</f>
        <v>Palans autres qu'à moteur électrique</v>
      </c>
    </row>
    <row r="1108" spans="1:4" x14ac:dyDescent="0.25">
      <c r="A1108" t="str">
        <f>T("   ZZZ_Monde")</f>
        <v xml:space="preserve">   ZZZ_Monde</v>
      </c>
      <c r="B1108" t="str">
        <f>T("   ZZZ_Monde")</f>
        <v xml:space="preserve">   ZZZ_Monde</v>
      </c>
      <c r="C1108">
        <v>81339</v>
      </c>
      <c r="D1108">
        <v>15</v>
      </c>
    </row>
    <row r="1109" spans="1:4" x14ac:dyDescent="0.25">
      <c r="A1109" t="str">
        <f>T("   GH")</f>
        <v xml:space="preserve">   GH</v>
      </c>
      <c r="B1109" t="str">
        <f>T("   Ghana")</f>
        <v xml:space="preserve">   Ghana</v>
      </c>
      <c r="C1109">
        <v>81339</v>
      </c>
      <c r="D1109">
        <v>15</v>
      </c>
    </row>
    <row r="1110" spans="1:4" x14ac:dyDescent="0.25">
      <c r="A1110" t="str">
        <f>T("842542")</f>
        <v>842542</v>
      </c>
      <c r="B1110" t="str">
        <f>T("Crics et vérins, hydrauliques (sauf élévateurs fixes des types utilisés dans les garages pour voitures)")</f>
        <v>Crics et vérins, hydrauliques (sauf élévateurs fixes des types utilisés dans les garages pour voitures)</v>
      </c>
    </row>
    <row r="1111" spans="1:4" x14ac:dyDescent="0.25">
      <c r="A1111" t="str">
        <f>T("   ZZZ_Monde")</f>
        <v xml:space="preserve">   ZZZ_Monde</v>
      </c>
      <c r="B1111" t="str">
        <f>T("   ZZZ_Monde")</f>
        <v xml:space="preserve">   ZZZ_Monde</v>
      </c>
      <c r="C1111">
        <v>61004</v>
      </c>
      <c r="D1111">
        <v>12</v>
      </c>
    </row>
    <row r="1112" spans="1:4" x14ac:dyDescent="0.25">
      <c r="A1112" t="str">
        <f>T("   GH")</f>
        <v xml:space="preserve">   GH</v>
      </c>
      <c r="B1112" t="str">
        <f>T("   Ghana")</f>
        <v xml:space="preserve">   Ghana</v>
      </c>
      <c r="C1112">
        <v>61004</v>
      </c>
      <c r="D1112">
        <v>12</v>
      </c>
    </row>
    <row r="1113" spans="1:4" x14ac:dyDescent="0.25">
      <c r="A1113" t="str">
        <f>T("842620")</f>
        <v>842620</v>
      </c>
      <c r="B1113" t="str">
        <f>T("Grues à tour")</f>
        <v>Grues à tour</v>
      </c>
    </row>
    <row r="1114" spans="1:4" x14ac:dyDescent="0.25">
      <c r="A1114" t="str">
        <f>T("   ZZZ_Monde")</f>
        <v xml:space="preserve">   ZZZ_Monde</v>
      </c>
      <c r="B1114" t="str">
        <f>T("   ZZZ_Monde")</f>
        <v xml:space="preserve">   ZZZ_Monde</v>
      </c>
      <c r="C1114">
        <v>13000000</v>
      </c>
      <c r="D1114">
        <v>22000</v>
      </c>
    </row>
    <row r="1115" spans="1:4" x14ac:dyDescent="0.25">
      <c r="A1115" t="str">
        <f>T("   GH")</f>
        <v xml:space="preserve">   GH</v>
      </c>
      <c r="B1115" t="str">
        <f>T("   Ghana")</f>
        <v xml:space="preserve">   Ghana</v>
      </c>
      <c r="C1115">
        <v>13000000</v>
      </c>
      <c r="D1115">
        <v>22000</v>
      </c>
    </row>
    <row r="1116" spans="1:4" x14ac:dyDescent="0.25">
      <c r="A1116" t="str">
        <f>T("842630")</f>
        <v>842630</v>
      </c>
      <c r="B1116" t="str">
        <f>T("Grues sur portiques")</f>
        <v>Grues sur portiques</v>
      </c>
    </row>
    <row r="1117" spans="1:4" x14ac:dyDescent="0.25">
      <c r="A1117" t="str">
        <f>T("   ZZZ_Monde")</f>
        <v xml:space="preserve">   ZZZ_Monde</v>
      </c>
      <c r="B1117" t="str">
        <f>T("   ZZZ_Monde")</f>
        <v xml:space="preserve">   ZZZ_Monde</v>
      </c>
      <c r="C1117">
        <v>129449114</v>
      </c>
      <c r="D1117">
        <v>41222</v>
      </c>
    </row>
    <row r="1118" spans="1:4" x14ac:dyDescent="0.25">
      <c r="A1118" t="str">
        <f>T("   IT")</f>
        <v xml:space="preserve">   IT</v>
      </c>
      <c r="B1118" t="str">
        <f>T("   Italie")</f>
        <v xml:space="preserve">   Italie</v>
      </c>
      <c r="C1118">
        <v>129449114</v>
      </c>
      <c r="D1118">
        <v>41222</v>
      </c>
    </row>
    <row r="1119" spans="1:4" x14ac:dyDescent="0.25">
      <c r="A1119" t="str">
        <f>T("842649")</f>
        <v>842649</v>
      </c>
      <c r="B1119" t="str">
        <f>T("Bigues et chariots-grues et appareils autopropulsés (autres que sur pneumatiques et sauf chariots-cavaliers)")</f>
        <v>Bigues et chariots-grues et appareils autopropulsés (autres que sur pneumatiques et sauf chariots-cavaliers)</v>
      </c>
    </row>
    <row r="1120" spans="1:4" x14ac:dyDescent="0.25">
      <c r="A1120" t="str">
        <f>T("   ZZZ_Monde")</f>
        <v xml:space="preserve">   ZZZ_Monde</v>
      </c>
      <c r="B1120" t="str">
        <f>T("   ZZZ_Monde")</f>
        <v xml:space="preserve">   ZZZ_Monde</v>
      </c>
      <c r="C1120">
        <v>649963214</v>
      </c>
      <c r="D1120">
        <v>100000</v>
      </c>
    </row>
    <row r="1121" spans="1:4" x14ac:dyDescent="0.25">
      <c r="A1121" t="str">
        <f>T("   FR")</f>
        <v xml:space="preserve">   FR</v>
      </c>
      <c r="B1121" t="str">
        <f>T("   France")</f>
        <v xml:space="preserve">   France</v>
      </c>
      <c r="C1121">
        <v>649963214</v>
      </c>
      <c r="D1121">
        <v>100000</v>
      </c>
    </row>
    <row r="1122" spans="1:4" x14ac:dyDescent="0.25">
      <c r="A1122" t="str">
        <f>T("842790")</f>
        <v>842790</v>
      </c>
      <c r="B1122" t="str">
        <f>T("Chariots de manutention munis d'un dispositif de levage mais non autopropulsés")</f>
        <v>Chariots de manutention munis d'un dispositif de levage mais non autopropulsés</v>
      </c>
    </row>
    <row r="1123" spans="1:4" x14ac:dyDescent="0.25">
      <c r="A1123" t="str">
        <f>T("   ZZZ_Monde")</f>
        <v xml:space="preserve">   ZZZ_Monde</v>
      </c>
      <c r="B1123" t="str">
        <f>T("   ZZZ_Monde")</f>
        <v xml:space="preserve">   ZZZ_Monde</v>
      </c>
      <c r="C1123">
        <v>27262135</v>
      </c>
      <c r="D1123">
        <v>26531</v>
      </c>
    </row>
    <row r="1124" spans="1:4" x14ac:dyDescent="0.25">
      <c r="A1124" t="str">
        <f>T("   GH")</f>
        <v xml:space="preserve">   GH</v>
      </c>
      <c r="B1124" t="str">
        <f>T("   Ghana")</f>
        <v xml:space="preserve">   Ghana</v>
      </c>
      <c r="C1124">
        <v>7262135</v>
      </c>
      <c r="D1124">
        <v>8531</v>
      </c>
    </row>
    <row r="1125" spans="1:4" x14ac:dyDescent="0.25">
      <c r="A1125" t="str">
        <f>T("   TG")</f>
        <v xml:space="preserve">   TG</v>
      </c>
      <c r="B1125" t="str">
        <f>T("   Togo")</f>
        <v xml:space="preserve">   Togo</v>
      </c>
      <c r="C1125">
        <v>20000000</v>
      </c>
      <c r="D1125">
        <v>18000</v>
      </c>
    </row>
    <row r="1126" spans="1:4" x14ac:dyDescent="0.25">
      <c r="A1126" t="str">
        <f>T("842820")</f>
        <v>842820</v>
      </c>
      <c r="B1126" t="str">
        <f>T("Appareils élévateurs ou transporteurs, pneumatiques")</f>
        <v>Appareils élévateurs ou transporteurs, pneumatiques</v>
      </c>
    </row>
    <row r="1127" spans="1:4" x14ac:dyDescent="0.25">
      <c r="A1127" t="str">
        <f>T("   ZZZ_Monde")</f>
        <v xml:space="preserve">   ZZZ_Monde</v>
      </c>
      <c r="B1127" t="str">
        <f>T("   ZZZ_Monde")</f>
        <v xml:space="preserve">   ZZZ_Monde</v>
      </c>
      <c r="C1127">
        <v>974768</v>
      </c>
      <c r="D1127">
        <v>8131</v>
      </c>
    </row>
    <row r="1128" spans="1:4" x14ac:dyDescent="0.25">
      <c r="A1128" t="str">
        <f>T("   GN")</f>
        <v xml:space="preserve">   GN</v>
      </c>
      <c r="B1128" t="str">
        <f>T("   Guinée")</f>
        <v xml:space="preserve">   Guinée</v>
      </c>
      <c r="C1128">
        <v>524768</v>
      </c>
      <c r="D1128">
        <v>4431</v>
      </c>
    </row>
    <row r="1129" spans="1:4" x14ac:dyDescent="0.25">
      <c r="A1129" t="str">
        <f>T("   TG")</f>
        <v xml:space="preserve">   TG</v>
      </c>
      <c r="B1129" t="str">
        <f>T("   Togo")</f>
        <v xml:space="preserve">   Togo</v>
      </c>
      <c r="C1129">
        <v>450000</v>
      </c>
      <c r="D1129">
        <v>3700</v>
      </c>
    </row>
    <row r="1130" spans="1:4" x14ac:dyDescent="0.25">
      <c r="A1130" t="str">
        <f>T("842831")</f>
        <v>842831</v>
      </c>
      <c r="B1130" t="str">
        <f>T("Appareils élévateurs, transporteurs ou convoyeurs pour marchandises, à action continue, spécialement conçus pour mines au fond ou autres travaux souterrains (à l'excl. des appareils élévateurs ou transporteurs pneumatiques)")</f>
        <v>Appareils élévateurs, transporteurs ou convoyeurs pour marchandises, à action continue, spécialement conçus pour mines au fond ou autres travaux souterrains (à l'excl. des appareils élévateurs ou transporteurs pneumatiques)</v>
      </c>
    </row>
    <row r="1131" spans="1:4" x14ac:dyDescent="0.25">
      <c r="A1131" t="str">
        <f>T("   ZZZ_Monde")</f>
        <v xml:space="preserve">   ZZZ_Monde</v>
      </c>
      <c r="B1131" t="str">
        <f>T("   ZZZ_Monde")</f>
        <v xml:space="preserve">   ZZZ_Monde</v>
      </c>
      <c r="C1131">
        <v>4000000</v>
      </c>
      <c r="D1131">
        <v>8480</v>
      </c>
    </row>
    <row r="1132" spans="1:4" x14ac:dyDescent="0.25">
      <c r="A1132" t="str">
        <f>T("   TG")</f>
        <v xml:space="preserve">   TG</v>
      </c>
      <c r="B1132" t="str">
        <f>T("   Togo")</f>
        <v xml:space="preserve">   Togo</v>
      </c>
      <c r="C1132">
        <v>4000000</v>
      </c>
      <c r="D1132">
        <v>8480</v>
      </c>
    </row>
    <row r="1133" spans="1:4" x14ac:dyDescent="0.25">
      <c r="A1133" t="str">
        <f>T("842839")</f>
        <v>842839</v>
      </c>
      <c r="B1133" t="str">
        <f>T("Appareils élévateurs, transporteurs ou convoyeurs pour marchandises, à action continue (autres que conçus pour mines au fond ou pour autres travaux souterrains, autres qu'à benne, à bande ou à courroie et autres que pneumatiques)")</f>
        <v>Appareils élévateurs, transporteurs ou convoyeurs pour marchandises, à action continue (autres que conçus pour mines au fond ou pour autres travaux souterrains, autres qu'à benne, à bande ou à courroie et autres que pneumatiques)</v>
      </c>
    </row>
    <row r="1134" spans="1:4" x14ac:dyDescent="0.25">
      <c r="A1134" t="str">
        <f>T("   ZZZ_Monde")</f>
        <v xml:space="preserve">   ZZZ_Monde</v>
      </c>
      <c r="B1134" t="str">
        <f>T("   ZZZ_Monde")</f>
        <v xml:space="preserve">   ZZZ_Monde</v>
      </c>
      <c r="C1134">
        <v>6900000</v>
      </c>
      <c r="D1134">
        <v>23910</v>
      </c>
    </row>
    <row r="1135" spans="1:4" x14ac:dyDescent="0.25">
      <c r="A1135" t="str">
        <f>T("   TG")</f>
        <v xml:space="preserve">   TG</v>
      </c>
      <c r="B1135" t="str">
        <f>T("   Togo")</f>
        <v xml:space="preserve">   Togo</v>
      </c>
      <c r="C1135">
        <v>6900000</v>
      </c>
      <c r="D1135">
        <v>23910</v>
      </c>
    </row>
    <row r="1136" spans="1:4" x14ac:dyDescent="0.25">
      <c r="A1136" t="str">
        <f>T("842911")</f>
        <v>842911</v>
      </c>
      <c r="B1136" t="str">
        <f>T("Bouteurs 'bulldozers' et bouteurs biais 'angledozers', à chenilles")</f>
        <v>Bouteurs 'bulldozers' et bouteurs biais 'angledozers', à chenilles</v>
      </c>
    </row>
    <row r="1137" spans="1:4" x14ac:dyDescent="0.25">
      <c r="A1137" t="str">
        <f>T("   ZZZ_Monde")</f>
        <v xml:space="preserve">   ZZZ_Monde</v>
      </c>
      <c r="B1137" t="str">
        <f>T("   ZZZ_Monde")</f>
        <v xml:space="preserve">   ZZZ_Monde</v>
      </c>
      <c r="C1137">
        <v>440132700</v>
      </c>
      <c r="D1137">
        <v>199126</v>
      </c>
    </row>
    <row r="1138" spans="1:4" x14ac:dyDescent="0.25">
      <c r="A1138" t="str">
        <f>T("   GA")</f>
        <v xml:space="preserve">   GA</v>
      </c>
      <c r="B1138" t="str">
        <f>T("   Gabon")</f>
        <v xml:space="preserve">   Gabon</v>
      </c>
      <c r="C1138">
        <v>270000000</v>
      </c>
      <c r="D1138">
        <v>64000</v>
      </c>
    </row>
    <row r="1139" spans="1:4" x14ac:dyDescent="0.25">
      <c r="A1139" t="str">
        <f>T("   MA")</f>
        <v xml:space="preserve">   MA</v>
      </c>
      <c r="B1139" t="str">
        <f>T("   Maroc")</f>
        <v xml:space="preserve">   Maroc</v>
      </c>
      <c r="C1139">
        <v>150000000</v>
      </c>
      <c r="D1139">
        <v>38126</v>
      </c>
    </row>
    <row r="1140" spans="1:4" x14ac:dyDescent="0.25">
      <c r="A1140" t="str">
        <f>T("   NG")</f>
        <v xml:space="preserve">   NG</v>
      </c>
      <c r="B1140" t="str">
        <f>T("   Nigéria")</f>
        <v xml:space="preserve">   Nigéria</v>
      </c>
      <c r="C1140">
        <v>20132700</v>
      </c>
      <c r="D1140">
        <v>97000</v>
      </c>
    </row>
    <row r="1141" spans="1:4" x14ac:dyDescent="0.25">
      <c r="A1141" t="str">
        <f>T("842919")</f>
        <v>842919</v>
      </c>
      <c r="B1141" t="str">
        <f>T("Bouteurs 'bulldozers' et bouteurs biais 'angledozers', sur roues")</f>
        <v>Bouteurs 'bulldozers' et bouteurs biais 'angledozers', sur roues</v>
      </c>
    </row>
    <row r="1142" spans="1:4" x14ac:dyDescent="0.25">
      <c r="A1142" t="str">
        <f>T("   ZZZ_Monde")</f>
        <v xml:space="preserve">   ZZZ_Monde</v>
      </c>
      <c r="B1142" t="str">
        <f>T("   ZZZ_Monde")</f>
        <v xml:space="preserve">   ZZZ_Monde</v>
      </c>
      <c r="C1142">
        <v>10648227</v>
      </c>
      <c r="D1142">
        <v>24500</v>
      </c>
    </row>
    <row r="1143" spans="1:4" x14ac:dyDescent="0.25">
      <c r="A1143" t="str">
        <f>T("   BE")</f>
        <v xml:space="preserve">   BE</v>
      </c>
      <c r="B1143" t="str">
        <f>T("   Belgique")</f>
        <v xml:space="preserve">   Belgique</v>
      </c>
      <c r="C1143">
        <v>4416607</v>
      </c>
      <c r="D1143">
        <v>18500</v>
      </c>
    </row>
    <row r="1144" spans="1:4" x14ac:dyDescent="0.25">
      <c r="A1144" t="str">
        <f>T("   CI")</f>
        <v xml:space="preserve">   CI</v>
      </c>
      <c r="B1144" t="str">
        <f>T("   Côte d'Ivoire")</f>
        <v xml:space="preserve">   Côte d'Ivoire</v>
      </c>
      <c r="C1144">
        <v>6231620</v>
      </c>
      <c r="D1144">
        <v>6000</v>
      </c>
    </row>
    <row r="1145" spans="1:4" x14ac:dyDescent="0.25">
      <c r="A1145" t="str">
        <f>T("842920")</f>
        <v>842920</v>
      </c>
      <c r="B1145" t="str">
        <f>T("Niveleuses autopropulsées")</f>
        <v>Niveleuses autopropulsées</v>
      </c>
    </row>
    <row r="1146" spans="1:4" x14ac:dyDescent="0.25">
      <c r="A1146" t="str">
        <f>T("   ZZZ_Monde")</f>
        <v xml:space="preserve">   ZZZ_Monde</v>
      </c>
      <c r="B1146" t="str">
        <f>T("   ZZZ_Monde")</f>
        <v xml:space="preserve">   ZZZ_Monde</v>
      </c>
      <c r="C1146">
        <v>209333333</v>
      </c>
      <c r="D1146">
        <v>105443</v>
      </c>
    </row>
    <row r="1147" spans="1:4" x14ac:dyDescent="0.25">
      <c r="A1147" t="str">
        <f>T("   GA")</f>
        <v xml:space="preserve">   GA</v>
      </c>
      <c r="B1147" t="str">
        <f>T("   Gabon")</f>
        <v xml:space="preserve">   Gabon</v>
      </c>
      <c r="C1147">
        <v>105000000</v>
      </c>
      <c r="D1147">
        <v>31401</v>
      </c>
    </row>
    <row r="1148" spans="1:4" x14ac:dyDescent="0.25">
      <c r="A1148" t="str">
        <f>T("   ML")</f>
        <v xml:space="preserve">   ML</v>
      </c>
      <c r="B1148" t="str">
        <f>T("   Mali")</f>
        <v xml:space="preserve">   Mali</v>
      </c>
      <c r="C1148">
        <v>64333333</v>
      </c>
      <c r="D1148">
        <v>38586</v>
      </c>
    </row>
    <row r="1149" spans="1:4" x14ac:dyDescent="0.25">
      <c r="A1149" t="str">
        <f>T("   NL")</f>
        <v xml:space="preserve">   NL</v>
      </c>
      <c r="B1149" t="str">
        <f>T("   Pays-bas")</f>
        <v xml:space="preserve">   Pays-bas</v>
      </c>
      <c r="C1149">
        <v>40000000</v>
      </c>
      <c r="D1149">
        <v>35456</v>
      </c>
    </row>
    <row r="1150" spans="1:4" x14ac:dyDescent="0.25">
      <c r="A1150" t="str">
        <f>T("842940")</f>
        <v>842940</v>
      </c>
      <c r="B1150" t="str">
        <f>T("Rouleaux compresseurs et autres compacteuses, autopropulsés")</f>
        <v>Rouleaux compresseurs et autres compacteuses, autopropulsés</v>
      </c>
    </row>
    <row r="1151" spans="1:4" x14ac:dyDescent="0.25">
      <c r="A1151" t="str">
        <f>T("   ZZZ_Monde")</f>
        <v xml:space="preserve">   ZZZ_Monde</v>
      </c>
      <c r="B1151" t="str">
        <f>T("   ZZZ_Monde")</f>
        <v xml:space="preserve">   ZZZ_Monde</v>
      </c>
      <c r="C1151">
        <v>227640104</v>
      </c>
      <c r="D1151">
        <v>153260</v>
      </c>
    </row>
    <row r="1152" spans="1:4" x14ac:dyDescent="0.25">
      <c r="A1152" t="str">
        <f>T("   BE")</f>
        <v xml:space="preserve">   BE</v>
      </c>
      <c r="B1152" t="str">
        <f>T("   Belgique")</f>
        <v xml:space="preserve">   Belgique</v>
      </c>
      <c r="C1152">
        <v>26454381</v>
      </c>
      <c r="D1152">
        <v>18600</v>
      </c>
    </row>
    <row r="1153" spans="1:4" x14ac:dyDescent="0.25">
      <c r="A1153" t="str">
        <f>T("   GA")</f>
        <v xml:space="preserve">   GA</v>
      </c>
      <c r="B1153" t="str">
        <f>T("   Gabon")</f>
        <v xml:space="preserve">   Gabon</v>
      </c>
      <c r="C1153">
        <v>35000000</v>
      </c>
      <c r="D1153">
        <v>2000</v>
      </c>
    </row>
    <row r="1154" spans="1:4" x14ac:dyDescent="0.25">
      <c r="A1154" t="str">
        <f>T("   MA")</f>
        <v xml:space="preserve">   MA</v>
      </c>
      <c r="B1154" t="str">
        <f>T("   Maroc")</f>
        <v xml:space="preserve">   Maroc</v>
      </c>
      <c r="C1154">
        <v>105000000</v>
      </c>
      <c r="D1154">
        <v>44831</v>
      </c>
    </row>
    <row r="1155" spans="1:4" x14ac:dyDescent="0.25">
      <c r="A1155" t="str">
        <f>T("   ML")</f>
        <v xml:space="preserve">   ML</v>
      </c>
      <c r="B1155" t="str">
        <f>T("   Mali")</f>
        <v xml:space="preserve">   Mali</v>
      </c>
      <c r="C1155">
        <v>32085723</v>
      </c>
      <c r="D1155">
        <v>40879</v>
      </c>
    </row>
    <row r="1156" spans="1:4" x14ac:dyDescent="0.25">
      <c r="A1156" t="str">
        <f>T("   TG")</f>
        <v xml:space="preserve">   TG</v>
      </c>
      <c r="B1156" t="str">
        <f>T("   Togo")</f>
        <v xml:space="preserve">   Togo</v>
      </c>
      <c r="C1156">
        <v>29100000</v>
      </c>
      <c r="D1156">
        <v>46950</v>
      </c>
    </row>
    <row r="1157" spans="1:4" x14ac:dyDescent="0.25">
      <c r="A1157" t="str">
        <f>T("842951")</f>
        <v>842951</v>
      </c>
      <c r="B1157" t="str">
        <f>T("Chargeuses et chargeuses-pelleteuses, à chargement frontal, autopropulsées")</f>
        <v>Chargeuses et chargeuses-pelleteuses, à chargement frontal, autopropulsées</v>
      </c>
    </row>
    <row r="1158" spans="1:4" x14ac:dyDescent="0.25">
      <c r="A1158" t="str">
        <f>T("   ZZZ_Monde")</f>
        <v xml:space="preserve">   ZZZ_Monde</v>
      </c>
      <c r="B1158" t="str">
        <f>T("   ZZZ_Monde")</f>
        <v xml:space="preserve">   ZZZ_Monde</v>
      </c>
      <c r="C1158">
        <v>270212256</v>
      </c>
      <c r="D1158">
        <v>145473</v>
      </c>
    </row>
    <row r="1159" spans="1:4" x14ac:dyDescent="0.25">
      <c r="A1159" t="str">
        <f>T("   AE")</f>
        <v xml:space="preserve">   AE</v>
      </c>
      <c r="B1159" t="str">
        <f>T("   Emirats Arabes Unis")</f>
        <v xml:space="preserve">   Emirats Arabes Unis</v>
      </c>
      <c r="C1159">
        <v>60000000</v>
      </c>
      <c r="D1159">
        <v>47000</v>
      </c>
    </row>
    <row r="1160" spans="1:4" x14ac:dyDescent="0.25">
      <c r="A1160" t="str">
        <f>T("   BF")</f>
        <v xml:space="preserve">   BF</v>
      </c>
      <c r="B1160" t="str">
        <f>T("   Burkina Faso")</f>
        <v xml:space="preserve">   Burkina Faso</v>
      </c>
      <c r="C1160">
        <v>13100000</v>
      </c>
      <c r="D1160">
        <v>3091</v>
      </c>
    </row>
    <row r="1161" spans="1:4" x14ac:dyDescent="0.25">
      <c r="A1161" t="str">
        <f>T("   GA")</f>
        <v xml:space="preserve">   GA</v>
      </c>
      <c r="B1161" t="str">
        <f>T("   Gabon")</f>
        <v xml:space="preserve">   Gabon</v>
      </c>
      <c r="C1161">
        <v>95000000</v>
      </c>
      <c r="D1161">
        <v>40342</v>
      </c>
    </row>
    <row r="1162" spans="1:4" x14ac:dyDescent="0.25">
      <c r="A1162" t="str">
        <f>T("   ML")</f>
        <v xml:space="preserve">   ML</v>
      </c>
      <c r="B1162" t="str">
        <f>T("   Mali")</f>
        <v xml:space="preserve">   Mali</v>
      </c>
      <c r="C1162">
        <v>62112256</v>
      </c>
      <c r="D1162">
        <v>18200</v>
      </c>
    </row>
    <row r="1163" spans="1:4" x14ac:dyDescent="0.25">
      <c r="A1163" t="str">
        <f>T("   NL")</f>
        <v xml:space="preserve">   NL</v>
      </c>
      <c r="B1163" t="str">
        <f>T("   Pays-bas")</f>
        <v xml:space="preserve">   Pays-bas</v>
      </c>
      <c r="C1163">
        <v>15000000</v>
      </c>
      <c r="D1163">
        <v>18840</v>
      </c>
    </row>
    <row r="1164" spans="1:4" x14ac:dyDescent="0.25">
      <c r="A1164" t="str">
        <f>T("   TG")</f>
        <v xml:space="preserve">   TG</v>
      </c>
      <c r="B1164" t="str">
        <f>T("   Togo")</f>
        <v xml:space="preserve">   Togo</v>
      </c>
      <c r="C1164">
        <v>25000000</v>
      </c>
      <c r="D1164">
        <v>18000</v>
      </c>
    </row>
    <row r="1165" spans="1:4" x14ac:dyDescent="0.25">
      <c r="A1165" t="str">
        <f>T("842959")</f>
        <v>842959</v>
      </c>
      <c r="B1165" t="str">
        <f>T("PELLES MÉCANIQUES, EXCAVATEURS, CHARGEUSES ET CHARGEUSES-PELLETEUSES, AUTOPROPULSÉS (SAUF PELLES-MÉCANIQUES DONT LA SUPERSTRUCTURE PEUT EFFECTUER UNE ROTATION DE 360¦ ET SAUF CHARGEUSES À CHARGEMENT FRONTAL)")</f>
        <v>PELLES MÉCANIQUES, EXCAVATEURS, CHARGEUSES ET CHARGEUSES-PELLETEUSES, AUTOPROPULSÉS (SAUF PELLES-MÉCANIQUES DONT LA SUPERSTRUCTURE PEUT EFFECTUER UNE ROTATION DE 360¦ ET SAUF CHARGEUSES À CHARGEMENT FRONTAL)</v>
      </c>
    </row>
    <row r="1166" spans="1:4" x14ac:dyDescent="0.25">
      <c r="A1166" t="str">
        <f>T("   ZZZ_Monde")</f>
        <v xml:space="preserve">   ZZZ_Monde</v>
      </c>
      <c r="B1166" t="str">
        <f>T("   ZZZ_Monde")</f>
        <v xml:space="preserve">   ZZZ_Monde</v>
      </c>
      <c r="C1166">
        <v>1333611800</v>
      </c>
      <c r="D1166">
        <v>976275</v>
      </c>
    </row>
    <row r="1167" spans="1:4" x14ac:dyDescent="0.25">
      <c r="A1167" t="str">
        <f>T("   BF")</f>
        <v xml:space="preserve">   BF</v>
      </c>
      <c r="B1167" t="str">
        <f>T("   Burkina Faso")</f>
        <v xml:space="preserve">   Burkina Faso</v>
      </c>
      <c r="C1167">
        <v>216250000</v>
      </c>
      <c r="D1167">
        <v>137000</v>
      </c>
    </row>
    <row r="1168" spans="1:4" x14ac:dyDescent="0.25">
      <c r="A1168" t="str">
        <f>T("   CI")</f>
        <v xml:space="preserve">   CI</v>
      </c>
      <c r="B1168" t="str">
        <f>T("   Côte d'Ivoire")</f>
        <v xml:space="preserve">   Côte d'Ivoire</v>
      </c>
      <c r="C1168">
        <v>8000000</v>
      </c>
      <c r="D1168">
        <v>9600</v>
      </c>
    </row>
    <row r="1169" spans="1:4" x14ac:dyDescent="0.25">
      <c r="A1169" t="str">
        <f>T("   CN")</f>
        <v xml:space="preserve">   CN</v>
      </c>
      <c r="B1169" t="str">
        <f>T("   Chine")</f>
        <v xml:space="preserve">   Chine</v>
      </c>
      <c r="C1169">
        <v>405340538</v>
      </c>
      <c r="D1169">
        <v>119800</v>
      </c>
    </row>
    <row r="1170" spans="1:4" x14ac:dyDescent="0.25">
      <c r="A1170" t="str">
        <f>T("   GA")</f>
        <v xml:space="preserve">   GA</v>
      </c>
      <c r="B1170" t="str">
        <f>T("   Gabon")</f>
        <v xml:space="preserve">   Gabon</v>
      </c>
      <c r="C1170">
        <v>28686880</v>
      </c>
      <c r="D1170">
        <v>178502</v>
      </c>
    </row>
    <row r="1171" spans="1:4" x14ac:dyDescent="0.25">
      <c r="A1171" t="str">
        <f>T("   GN")</f>
        <v xml:space="preserve">   GN</v>
      </c>
      <c r="B1171" t="str">
        <f>T("   Guinée")</f>
        <v xml:space="preserve">   Guinée</v>
      </c>
      <c r="C1171">
        <v>3866852</v>
      </c>
      <c r="D1171">
        <v>114000</v>
      </c>
    </row>
    <row r="1172" spans="1:4" x14ac:dyDescent="0.25">
      <c r="A1172" t="str">
        <f>T("   MA")</f>
        <v xml:space="preserve">   MA</v>
      </c>
      <c r="B1172" t="str">
        <f>T("   Maroc")</f>
        <v xml:space="preserve">   Maroc</v>
      </c>
      <c r="C1172">
        <v>100000000</v>
      </c>
      <c r="D1172">
        <v>70000</v>
      </c>
    </row>
    <row r="1173" spans="1:4" x14ac:dyDescent="0.25">
      <c r="A1173" t="str">
        <f>T("   ML")</f>
        <v xml:space="preserve">   ML</v>
      </c>
      <c r="B1173" t="str">
        <f>T("   Mali")</f>
        <v xml:space="preserve">   Mali</v>
      </c>
      <c r="C1173">
        <v>152353320</v>
      </c>
      <c r="D1173">
        <v>58800</v>
      </c>
    </row>
    <row r="1174" spans="1:4" x14ac:dyDescent="0.25">
      <c r="A1174" t="str">
        <f>T("   NG")</f>
        <v xml:space="preserve">   NG</v>
      </c>
      <c r="B1174" t="str">
        <f>T("   Nigéria")</f>
        <v xml:space="preserve">   Nigéria</v>
      </c>
      <c r="C1174">
        <v>154350700</v>
      </c>
      <c r="D1174">
        <v>125573</v>
      </c>
    </row>
    <row r="1175" spans="1:4" x14ac:dyDescent="0.25">
      <c r="A1175" t="str">
        <f>T("   NL")</f>
        <v xml:space="preserve">   NL</v>
      </c>
      <c r="B1175" t="str">
        <f>T("   Pays-bas")</f>
        <v xml:space="preserve">   Pays-bas</v>
      </c>
      <c r="C1175">
        <v>134307810</v>
      </c>
      <c r="D1175">
        <v>87000</v>
      </c>
    </row>
    <row r="1176" spans="1:4" x14ac:dyDescent="0.25">
      <c r="A1176" t="str">
        <f>T("   TG")</f>
        <v xml:space="preserve">   TG</v>
      </c>
      <c r="B1176" t="str">
        <f>T("   Togo")</f>
        <v xml:space="preserve">   Togo</v>
      </c>
      <c r="C1176">
        <v>130455700</v>
      </c>
      <c r="D1176">
        <v>76000</v>
      </c>
    </row>
    <row r="1177" spans="1:4" x14ac:dyDescent="0.25">
      <c r="A1177" t="str">
        <f>T("843050")</f>
        <v>843050</v>
      </c>
      <c r="B1177" t="str">
        <f>T("Machines et appareils de terrassement, nivellement, décapage, excavation, compactage, extraction ou forage de la terre, des minéraux ou des minerais, autopropulsés, n.d.a.")</f>
        <v>Machines et appareils de terrassement, nivellement, décapage, excavation, compactage, extraction ou forage de la terre, des minéraux ou des minerais, autopropulsés, n.d.a.</v>
      </c>
    </row>
    <row r="1178" spans="1:4" x14ac:dyDescent="0.25">
      <c r="A1178" t="str">
        <f>T("   ZZZ_Monde")</f>
        <v xml:space="preserve">   ZZZ_Monde</v>
      </c>
      <c r="B1178" t="str">
        <f>T("   ZZZ_Monde")</f>
        <v xml:space="preserve">   ZZZ_Monde</v>
      </c>
      <c r="C1178">
        <v>8893520</v>
      </c>
      <c r="D1178">
        <v>3780</v>
      </c>
    </row>
    <row r="1179" spans="1:4" x14ac:dyDescent="0.25">
      <c r="A1179" t="str">
        <f>T("   TZ")</f>
        <v xml:space="preserve">   TZ</v>
      </c>
      <c r="B1179" t="str">
        <f>T("   Tanzanie")</f>
        <v xml:space="preserve">   Tanzanie</v>
      </c>
      <c r="C1179">
        <v>8893520</v>
      </c>
      <c r="D1179">
        <v>3780</v>
      </c>
    </row>
    <row r="1180" spans="1:4" x14ac:dyDescent="0.25">
      <c r="A1180" t="str">
        <f>T("843069")</f>
        <v>843069</v>
      </c>
      <c r="B1180" t="str">
        <f>T("Machines et appareils de terrassement, nivellement, décapage, excavation, compactage, extraction ou forage de la terre, des minéraux ou des minerais, non autopropulsés, n.d.a.")</f>
        <v>Machines et appareils de terrassement, nivellement, décapage, excavation, compactage, extraction ou forage de la terre, des minéraux ou des minerais, non autopropulsés, n.d.a.</v>
      </c>
    </row>
    <row r="1181" spans="1:4" x14ac:dyDescent="0.25">
      <c r="A1181" t="str">
        <f>T("   ZZZ_Monde")</f>
        <v xml:space="preserve">   ZZZ_Monde</v>
      </c>
      <c r="B1181" t="str">
        <f>T("   ZZZ_Monde")</f>
        <v xml:space="preserve">   ZZZ_Monde</v>
      </c>
      <c r="C1181">
        <v>293882948</v>
      </c>
      <c r="D1181">
        <v>261005</v>
      </c>
    </row>
    <row r="1182" spans="1:4" x14ac:dyDescent="0.25">
      <c r="A1182" t="str">
        <f>T("   FR")</f>
        <v xml:space="preserve">   FR</v>
      </c>
      <c r="B1182" t="str">
        <f>T("   France")</f>
        <v xml:space="preserve">   France</v>
      </c>
      <c r="C1182">
        <v>246654079</v>
      </c>
      <c r="D1182">
        <v>12606</v>
      </c>
    </row>
    <row r="1183" spans="1:4" x14ac:dyDescent="0.25">
      <c r="A1183" t="str">
        <f>T("   GA")</f>
        <v xml:space="preserve">   GA</v>
      </c>
      <c r="B1183" t="str">
        <f>T("   Gabon")</f>
        <v xml:space="preserve">   Gabon</v>
      </c>
      <c r="C1183">
        <v>9400000</v>
      </c>
      <c r="D1183">
        <v>76488</v>
      </c>
    </row>
    <row r="1184" spans="1:4" x14ac:dyDescent="0.25">
      <c r="A1184" t="str">
        <f>T("   GN")</f>
        <v xml:space="preserve">   GN</v>
      </c>
      <c r="B1184" t="str">
        <f>T("   Guinée")</f>
        <v xml:space="preserve">   Guinée</v>
      </c>
      <c r="C1184">
        <v>3112903</v>
      </c>
      <c r="D1184">
        <v>96650</v>
      </c>
    </row>
    <row r="1185" spans="1:4" x14ac:dyDescent="0.25">
      <c r="A1185" t="str">
        <f>T("   LB")</f>
        <v xml:space="preserve">   LB</v>
      </c>
      <c r="B1185" t="str">
        <f>T("   Liban")</f>
        <v xml:space="preserve">   Liban</v>
      </c>
      <c r="C1185">
        <v>6354743</v>
      </c>
      <c r="D1185">
        <v>10000</v>
      </c>
    </row>
    <row r="1186" spans="1:4" x14ac:dyDescent="0.25">
      <c r="A1186" t="str">
        <f>T("   NG")</f>
        <v xml:space="preserve">   NG</v>
      </c>
      <c r="B1186" t="str">
        <f>T("   Nigéria")</f>
        <v xml:space="preserve">   Nigéria</v>
      </c>
      <c r="C1186">
        <v>28361223</v>
      </c>
      <c r="D1186">
        <v>65261</v>
      </c>
    </row>
    <row r="1187" spans="1:4" x14ac:dyDescent="0.25">
      <c r="A1187" t="str">
        <f>T("843139")</f>
        <v>843139</v>
      </c>
      <c r="B1187" t="str">
        <f>T("Parties de machines et appareils du n° 8428, n.d.a.")</f>
        <v>Parties de machines et appareils du n° 8428, n.d.a.</v>
      </c>
    </row>
    <row r="1188" spans="1:4" x14ac:dyDescent="0.25">
      <c r="A1188" t="str">
        <f>T("   ZZZ_Monde")</f>
        <v xml:space="preserve">   ZZZ_Monde</v>
      </c>
      <c r="B1188" t="str">
        <f>T("   ZZZ_Monde")</f>
        <v xml:space="preserve">   ZZZ_Monde</v>
      </c>
      <c r="C1188">
        <v>8054960</v>
      </c>
      <c r="D1188">
        <v>26212</v>
      </c>
    </row>
    <row r="1189" spans="1:4" x14ac:dyDescent="0.25">
      <c r="A1189" t="str">
        <f>T("   GA")</f>
        <v xml:space="preserve">   GA</v>
      </c>
      <c r="B1189" t="str">
        <f>T("   Gabon")</f>
        <v xml:space="preserve">   Gabon</v>
      </c>
      <c r="C1189">
        <v>8054960</v>
      </c>
      <c r="D1189">
        <v>26212</v>
      </c>
    </row>
    <row r="1190" spans="1:4" x14ac:dyDescent="0.25">
      <c r="A1190" t="str">
        <f>T("843141")</f>
        <v>843141</v>
      </c>
      <c r="B1190" t="str">
        <f>T("Godets, bennes, bennes-preneuses, pelles, grappins et pinces pour machines et appareils du n° 8426, 8429 ou 8430")</f>
        <v>Godets, bennes, bennes-preneuses, pelles, grappins et pinces pour machines et appareils du n° 8426, 8429 ou 8430</v>
      </c>
    </row>
    <row r="1191" spans="1:4" x14ac:dyDescent="0.25">
      <c r="A1191" t="str">
        <f>T("   ZZZ_Monde")</f>
        <v xml:space="preserve">   ZZZ_Monde</v>
      </c>
      <c r="B1191" t="str">
        <f>T("   ZZZ_Monde")</f>
        <v xml:space="preserve">   ZZZ_Monde</v>
      </c>
      <c r="C1191">
        <v>45939424</v>
      </c>
      <c r="D1191">
        <v>38613</v>
      </c>
    </row>
    <row r="1192" spans="1:4" x14ac:dyDescent="0.25">
      <c r="A1192" t="str">
        <f>T("   FR")</f>
        <v xml:space="preserve">   FR</v>
      </c>
      <c r="B1192" t="str">
        <f>T("   France")</f>
        <v xml:space="preserve">   France</v>
      </c>
      <c r="C1192">
        <v>8631150</v>
      </c>
      <c r="D1192">
        <v>7490</v>
      </c>
    </row>
    <row r="1193" spans="1:4" x14ac:dyDescent="0.25">
      <c r="A1193" t="str">
        <f>T("   MA")</f>
        <v xml:space="preserve">   MA</v>
      </c>
      <c r="B1193" t="str">
        <f>T("   Maroc")</f>
        <v xml:space="preserve">   Maroc</v>
      </c>
      <c r="C1193">
        <v>22000000</v>
      </c>
      <c r="D1193">
        <v>3259</v>
      </c>
    </row>
    <row r="1194" spans="1:4" x14ac:dyDescent="0.25">
      <c r="A1194" t="str">
        <f>T("   NE")</f>
        <v xml:space="preserve">   NE</v>
      </c>
      <c r="B1194" t="str">
        <f>T("   Niger")</f>
        <v xml:space="preserve">   Niger</v>
      </c>
      <c r="C1194">
        <v>15308274</v>
      </c>
      <c r="D1194">
        <v>27864</v>
      </c>
    </row>
    <row r="1195" spans="1:4" x14ac:dyDescent="0.25">
      <c r="A1195" t="str">
        <f>T("843143")</f>
        <v>843143</v>
      </c>
      <c r="B1195" t="str">
        <f>T("Parties de machines de sondage ou de forage du n° 8430.41 ou 8430.49, n.d.a.")</f>
        <v>Parties de machines de sondage ou de forage du n° 8430.41 ou 8430.49, n.d.a.</v>
      </c>
    </row>
    <row r="1196" spans="1:4" x14ac:dyDescent="0.25">
      <c r="A1196" t="str">
        <f>T("   ZZZ_Monde")</f>
        <v xml:space="preserve">   ZZZ_Monde</v>
      </c>
      <c r="B1196" t="str">
        <f>T("   ZZZ_Monde")</f>
        <v xml:space="preserve">   ZZZ_Monde</v>
      </c>
      <c r="C1196">
        <v>15602009</v>
      </c>
      <c r="D1196">
        <v>50</v>
      </c>
    </row>
    <row r="1197" spans="1:4" x14ac:dyDescent="0.25">
      <c r="A1197" t="str">
        <f>T("   FR")</f>
        <v xml:space="preserve">   FR</v>
      </c>
      <c r="B1197" t="str">
        <f>T("   France")</f>
        <v xml:space="preserve">   France</v>
      </c>
      <c r="C1197">
        <v>15602009</v>
      </c>
      <c r="D1197">
        <v>50</v>
      </c>
    </row>
    <row r="1198" spans="1:4" x14ac:dyDescent="0.25">
      <c r="A1198" t="str">
        <f>T("843149")</f>
        <v>843149</v>
      </c>
      <c r="B1198" t="str">
        <f>T("Parties de machines et appareils du n° 8426, 8429 ou 8430, n.d.a.")</f>
        <v>Parties de machines et appareils du n° 8426, 8429 ou 8430, n.d.a.</v>
      </c>
    </row>
    <row r="1199" spans="1:4" x14ac:dyDescent="0.25">
      <c r="A1199" t="str">
        <f>T("   ZZZ_Monde")</f>
        <v xml:space="preserve">   ZZZ_Monde</v>
      </c>
      <c r="B1199" t="str">
        <f>T("   ZZZ_Monde")</f>
        <v xml:space="preserve">   ZZZ_Monde</v>
      </c>
      <c r="C1199">
        <v>86335238</v>
      </c>
      <c r="D1199">
        <v>62712</v>
      </c>
    </row>
    <row r="1200" spans="1:4" x14ac:dyDescent="0.25">
      <c r="A1200" t="str">
        <f>T("   BE")</f>
        <v xml:space="preserve">   BE</v>
      </c>
      <c r="B1200" t="str">
        <f>T("   Belgique")</f>
        <v xml:space="preserve">   Belgique</v>
      </c>
      <c r="C1200">
        <v>11925840</v>
      </c>
      <c r="D1200">
        <v>1015</v>
      </c>
    </row>
    <row r="1201" spans="1:4" x14ac:dyDescent="0.25">
      <c r="A1201" t="str">
        <f>T("   DE")</f>
        <v xml:space="preserve">   DE</v>
      </c>
      <c r="B1201" t="str">
        <f>T("   Allemagne")</f>
        <v xml:space="preserve">   Allemagne</v>
      </c>
      <c r="C1201">
        <v>16620059</v>
      </c>
      <c r="D1201">
        <v>1815</v>
      </c>
    </row>
    <row r="1202" spans="1:4" x14ac:dyDescent="0.25">
      <c r="A1202" t="str">
        <f>T("   FR")</f>
        <v xml:space="preserve">   FR</v>
      </c>
      <c r="B1202" t="str">
        <f>T("   France")</f>
        <v xml:space="preserve">   France</v>
      </c>
      <c r="C1202">
        <v>50483869</v>
      </c>
      <c r="D1202">
        <v>54470</v>
      </c>
    </row>
    <row r="1203" spans="1:4" x14ac:dyDescent="0.25">
      <c r="A1203" t="str">
        <f>T("   NG")</f>
        <v xml:space="preserve">   NG</v>
      </c>
      <c r="B1203" t="str">
        <f>T("   Nigéria")</f>
        <v xml:space="preserve">   Nigéria</v>
      </c>
      <c r="C1203">
        <v>6940470</v>
      </c>
      <c r="D1203">
        <v>5000</v>
      </c>
    </row>
    <row r="1204" spans="1:4" x14ac:dyDescent="0.25">
      <c r="A1204" t="str">
        <f>T("   TG")</f>
        <v xml:space="preserve">   TG</v>
      </c>
      <c r="B1204" t="str">
        <f>T("   Togo")</f>
        <v xml:space="preserve">   Togo</v>
      </c>
      <c r="C1204">
        <v>365000</v>
      </c>
      <c r="D1204">
        <v>412</v>
      </c>
    </row>
    <row r="1205" spans="1:4" x14ac:dyDescent="0.25">
      <c r="A1205" t="str">
        <f>T("843240")</f>
        <v>843240</v>
      </c>
      <c r="B1205" t="str">
        <f>T("ÉPANDEURS DE FUMIER ET DISTRIBUTEURS D'ENGRAIS POUR L'AGRICULTURE, LA SYLVICULTURE OU L'HORTICULTURE")</f>
        <v>ÉPANDEURS DE FUMIER ET DISTRIBUTEURS D'ENGRAIS POUR L'AGRICULTURE, LA SYLVICULTURE OU L'HORTICULTURE</v>
      </c>
    </row>
    <row r="1206" spans="1:4" x14ac:dyDescent="0.25">
      <c r="A1206" t="str">
        <f>T("   ZZZ_Monde")</f>
        <v xml:space="preserve">   ZZZ_Monde</v>
      </c>
      <c r="B1206" t="str">
        <f>T("   ZZZ_Monde")</f>
        <v xml:space="preserve">   ZZZ_Monde</v>
      </c>
      <c r="C1206">
        <v>825198</v>
      </c>
      <c r="D1206">
        <v>954</v>
      </c>
    </row>
    <row r="1207" spans="1:4" x14ac:dyDescent="0.25">
      <c r="A1207" t="str">
        <f>T("   GM")</f>
        <v xml:space="preserve">   GM</v>
      </c>
      <c r="B1207" t="str">
        <f>T("   Gambie")</f>
        <v xml:space="preserve">   Gambie</v>
      </c>
      <c r="C1207">
        <v>825198</v>
      </c>
      <c r="D1207">
        <v>954</v>
      </c>
    </row>
    <row r="1208" spans="1:4" x14ac:dyDescent="0.25">
      <c r="A1208" t="str">
        <f>T("843629")</f>
        <v>843629</v>
      </c>
      <c r="B1208" t="str">
        <f>T("Machines et appareils pour l'aviculture (sauf machines à trier les oeufs, machines à plumer du n° 8438 et sauf couveuses et éleveuses)")</f>
        <v>Machines et appareils pour l'aviculture (sauf machines à trier les oeufs, machines à plumer du n° 8438 et sauf couveuses et éleveuses)</v>
      </c>
    </row>
    <row r="1209" spans="1:4" x14ac:dyDescent="0.25">
      <c r="A1209" t="str">
        <f>T("   ZZZ_Monde")</f>
        <v xml:space="preserve">   ZZZ_Monde</v>
      </c>
      <c r="B1209" t="str">
        <f>T("   ZZZ_Monde")</f>
        <v xml:space="preserve">   ZZZ_Monde</v>
      </c>
      <c r="C1209">
        <v>4495000</v>
      </c>
      <c r="D1209">
        <v>1782</v>
      </c>
    </row>
    <row r="1210" spans="1:4" x14ac:dyDescent="0.25">
      <c r="A1210" t="str">
        <f>T("   LR")</f>
        <v xml:space="preserve">   LR</v>
      </c>
      <c r="B1210" t="str">
        <f>T("   Libéria")</f>
        <v xml:space="preserve">   Libéria</v>
      </c>
      <c r="C1210">
        <v>4495000</v>
      </c>
      <c r="D1210">
        <v>1782</v>
      </c>
    </row>
    <row r="1211" spans="1:4" x14ac:dyDescent="0.25">
      <c r="A1211" t="str">
        <f>T("843780")</f>
        <v>843780</v>
      </c>
      <c r="B1211" t="str">
        <f>T("Machines et appareils de minoterie ou pour traitement des céréales ou légumes secs (autres que les machines et appareils du type agricole, les installations de traitement thermique, essoreuses centrifuges, filtres à air ainsi que machines et appareils pou")</f>
        <v>Machines et appareils de minoterie ou pour traitement des céréales ou légumes secs (autres que les machines et appareils du type agricole, les installations de traitement thermique, essoreuses centrifuges, filtres à air ainsi que machines et appareils pou</v>
      </c>
    </row>
    <row r="1212" spans="1:4" x14ac:dyDescent="0.25">
      <c r="A1212" t="str">
        <f>T("   ZZZ_Monde")</f>
        <v xml:space="preserve">   ZZZ_Monde</v>
      </c>
      <c r="B1212" t="str">
        <f>T("   ZZZ_Monde")</f>
        <v xml:space="preserve">   ZZZ_Monde</v>
      </c>
      <c r="C1212">
        <v>460000</v>
      </c>
      <c r="D1212">
        <v>120</v>
      </c>
    </row>
    <row r="1213" spans="1:4" x14ac:dyDescent="0.25">
      <c r="A1213" t="str">
        <f>T("   GA")</f>
        <v xml:space="preserve">   GA</v>
      </c>
      <c r="B1213" t="str">
        <f>T("   Gabon")</f>
        <v xml:space="preserve">   Gabon</v>
      </c>
      <c r="C1213">
        <v>460000</v>
      </c>
      <c r="D1213">
        <v>120</v>
      </c>
    </row>
    <row r="1214" spans="1:4" x14ac:dyDescent="0.25">
      <c r="A1214" t="str">
        <f>T("843810")</f>
        <v>843810</v>
      </c>
      <c r="B1214" t="str">
        <f>T("Machines et appareils pour la fabrication industrielle des produits de boulangerie, pâtisserie ou biscuiterie ou pour la fabrication industrielle des pâtes alimentaires (sauf fours, appareils de séchage des pâtes alimentaires et machines à rouler la pâte)")</f>
        <v>Machines et appareils pour la fabrication industrielle des produits de boulangerie, pâtisserie ou biscuiterie ou pour la fabrication industrielle des pâtes alimentaires (sauf fours, appareils de séchage des pâtes alimentaires et machines à rouler la pâte)</v>
      </c>
    </row>
    <row r="1215" spans="1:4" x14ac:dyDescent="0.25">
      <c r="A1215" t="str">
        <f>T("   ZZZ_Monde")</f>
        <v xml:space="preserve">   ZZZ_Monde</v>
      </c>
      <c r="B1215" t="str">
        <f>T("   ZZZ_Monde")</f>
        <v xml:space="preserve">   ZZZ_Monde</v>
      </c>
      <c r="C1215">
        <v>3350000</v>
      </c>
      <c r="D1215">
        <v>17000</v>
      </c>
    </row>
    <row r="1216" spans="1:4" x14ac:dyDescent="0.25">
      <c r="A1216" t="str">
        <f>T("   SN")</f>
        <v xml:space="preserve">   SN</v>
      </c>
      <c r="B1216" t="str">
        <f>T("   Sénégal")</f>
        <v xml:space="preserve">   Sénégal</v>
      </c>
      <c r="C1216">
        <v>3350000</v>
      </c>
      <c r="D1216">
        <v>17000</v>
      </c>
    </row>
    <row r="1217" spans="1:4" x14ac:dyDescent="0.25">
      <c r="A1217" t="str">
        <f>T("844359")</f>
        <v>844359</v>
      </c>
      <c r="B1217" t="str">
        <f>T("Machines et appareils servant à l'impression au moyen de caractères d'imprimerie, clichés, planches, cylindres et autres organes imprimants du n° 8442 (à l'excl. des duplicateurs hectographiques ou à stencils, des machines à imprimer les adresses et autre")</f>
        <v>Machines et appareils servant à l'impression au moyen de caractères d'imprimerie, clichés, planches, cylindres et autres organes imprimants du n° 8442 (à l'excl. des duplicateurs hectographiques ou à stencils, des machines à imprimer les adresses et autre</v>
      </c>
    </row>
    <row r="1218" spans="1:4" x14ac:dyDescent="0.25">
      <c r="A1218" t="str">
        <f>T("   ZZZ_Monde")</f>
        <v xml:space="preserve">   ZZZ_Monde</v>
      </c>
      <c r="B1218" t="str">
        <f>T("   ZZZ_Monde")</f>
        <v xml:space="preserve">   ZZZ_Monde</v>
      </c>
      <c r="C1218">
        <v>2700000</v>
      </c>
      <c r="D1218">
        <v>75.3</v>
      </c>
    </row>
    <row r="1219" spans="1:4" x14ac:dyDescent="0.25">
      <c r="A1219" t="str">
        <f>T("   BF")</f>
        <v xml:space="preserve">   BF</v>
      </c>
      <c r="B1219" t="str">
        <f>T("   Burkina Faso")</f>
        <v xml:space="preserve">   Burkina Faso</v>
      </c>
      <c r="C1219">
        <v>2700000</v>
      </c>
      <c r="D1219">
        <v>75.3</v>
      </c>
    </row>
    <row r="1220" spans="1:4" x14ac:dyDescent="0.25">
      <c r="A1220" t="str">
        <f>T("846090")</f>
        <v>846090</v>
      </c>
      <c r="B1220" t="str">
        <f>T("Machines à ébarber, meuler, polir ou à faire d'autres opérations de finissage, pour le travail des métaux (autres que les machines à rectifier dont le positionnement dans un des axes peut être réglé à au moins 0,01 mm près, autres qu'à commande numérique,")</f>
        <v>Machines à ébarber, meuler, polir ou à faire d'autres opérations de finissage, pour le travail des métaux (autres que les machines à rectifier dont le positionnement dans un des axes peut être réglé à au moins 0,01 mm près, autres qu'à commande numérique,</v>
      </c>
    </row>
    <row r="1221" spans="1:4" x14ac:dyDescent="0.25">
      <c r="A1221" t="str">
        <f>T("   ZZZ_Monde")</f>
        <v xml:space="preserve">   ZZZ_Monde</v>
      </c>
      <c r="B1221" t="str">
        <f>T("   ZZZ_Monde")</f>
        <v xml:space="preserve">   ZZZ_Monde</v>
      </c>
      <c r="C1221">
        <v>179077</v>
      </c>
      <c r="D1221">
        <v>34</v>
      </c>
    </row>
    <row r="1222" spans="1:4" x14ac:dyDescent="0.25">
      <c r="A1222" t="str">
        <f>T("   GH")</f>
        <v xml:space="preserve">   GH</v>
      </c>
      <c r="B1222" t="str">
        <f>T("   Ghana")</f>
        <v xml:space="preserve">   Ghana</v>
      </c>
      <c r="C1222">
        <v>179077</v>
      </c>
      <c r="D1222">
        <v>34</v>
      </c>
    </row>
    <row r="1223" spans="1:4" x14ac:dyDescent="0.25">
      <c r="A1223" t="str">
        <f>T("846120")</f>
        <v>846120</v>
      </c>
      <c r="B1223" t="str">
        <f>T("Etaux-limeurs et machines à mortaiser, pour le travail des métaux")</f>
        <v>Etaux-limeurs et machines à mortaiser, pour le travail des métaux</v>
      </c>
    </row>
    <row r="1224" spans="1:4" x14ac:dyDescent="0.25">
      <c r="A1224" t="str">
        <f>T("   ZZZ_Monde")</f>
        <v xml:space="preserve">   ZZZ_Monde</v>
      </c>
      <c r="B1224" t="str">
        <f>T("   ZZZ_Monde")</f>
        <v xml:space="preserve">   ZZZ_Monde</v>
      </c>
      <c r="C1224">
        <v>46573</v>
      </c>
      <c r="D1224">
        <v>9</v>
      </c>
    </row>
    <row r="1225" spans="1:4" x14ac:dyDescent="0.25">
      <c r="A1225" t="str">
        <f>T("   GH")</f>
        <v xml:space="preserve">   GH</v>
      </c>
      <c r="B1225" t="str">
        <f>T("   Ghana")</f>
        <v xml:space="preserve">   Ghana</v>
      </c>
      <c r="C1225">
        <v>46573</v>
      </c>
      <c r="D1225">
        <v>9</v>
      </c>
    </row>
    <row r="1226" spans="1:4" x14ac:dyDescent="0.25">
      <c r="A1226" t="str">
        <f>T("846190")</f>
        <v>846190</v>
      </c>
      <c r="B1226" t="str">
        <f>T("Machines à raboter et autres machines-outils travaillant par enlèvement de métal, n.d.a.")</f>
        <v>Machines à raboter et autres machines-outils travaillant par enlèvement de métal, n.d.a.</v>
      </c>
    </row>
    <row r="1227" spans="1:4" x14ac:dyDescent="0.25">
      <c r="A1227" t="str">
        <f>T("   ZZZ_Monde")</f>
        <v xml:space="preserve">   ZZZ_Monde</v>
      </c>
      <c r="B1227" t="str">
        <f>T("   ZZZ_Monde")</f>
        <v xml:space="preserve">   ZZZ_Monde</v>
      </c>
      <c r="C1227">
        <v>4000000</v>
      </c>
      <c r="D1227">
        <v>13780</v>
      </c>
    </row>
    <row r="1228" spans="1:4" x14ac:dyDescent="0.25">
      <c r="A1228" t="str">
        <f>T("   GA")</f>
        <v xml:space="preserve">   GA</v>
      </c>
      <c r="B1228" t="str">
        <f>T("   Gabon")</f>
        <v xml:space="preserve">   Gabon</v>
      </c>
      <c r="C1228">
        <v>4000000</v>
      </c>
      <c r="D1228">
        <v>13780</v>
      </c>
    </row>
    <row r="1229" spans="1:4" x14ac:dyDescent="0.25">
      <c r="A1229" t="str">
        <f>T("846390")</f>
        <v>846390</v>
      </c>
      <c r="B1229" t="str">
        <f>T("Machines-outils pour le travail des métaux, des carbures métalliques frittés ou des cermets, sans enlèvement de matière (sauf machines à forger, à rouler, à cintrer, dresser ou planer; machines à cisailler, à poinçonner ou à gruger; presses; bancs à étire")</f>
        <v>Machines-outils pour le travail des métaux, des carbures métalliques frittés ou des cermets, sans enlèvement de matière (sauf machines à forger, à rouler, à cintrer, dresser ou planer; machines à cisailler, à poinçonner ou à gruger; presses; bancs à étire</v>
      </c>
    </row>
    <row r="1230" spans="1:4" x14ac:dyDescent="0.25">
      <c r="A1230" t="str">
        <f>T("   ZZZ_Monde")</f>
        <v xml:space="preserve">   ZZZ_Monde</v>
      </c>
      <c r="B1230" t="str">
        <f>T("   ZZZ_Monde")</f>
        <v xml:space="preserve">   ZZZ_Monde</v>
      </c>
      <c r="C1230">
        <v>17165453</v>
      </c>
      <c r="D1230">
        <v>597</v>
      </c>
    </row>
    <row r="1231" spans="1:4" x14ac:dyDescent="0.25">
      <c r="A1231" t="str">
        <f>T("   GH")</f>
        <v xml:space="preserve">   GH</v>
      </c>
      <c r="B1231" t="str">
        <f>T("   Ghana")</f>
        <v xml:space="preserve">   Ghana</v>
      </c>
      <c r="C1231">
        <v>195476</v>
      </c>
      <c r="D1231">
        <v>37</v>
      </c>
    </row>
    <row r="1232" spans="1:4" x14ac:dyDescent="0.25">
      <c r="A1232" t="str">
        <f>T("   TG")</f>
        <v xml:space="preserve">   TG</v>
      </c>
      <c r="B1232" t="str">
        <f>T("   Togo")</f>
        <v xml:space="preserve">   Togo</v>
      </c>
      <c r="C1232">
        <v>16969977</v>
      </c>
      <c r="D1232">
        <v>560</v>
      </c>
    </row>
    <row r="1233" spans="1:4" x14ac:dyDescent="0.25">
      <c r="A1233" t="str">
        <f>T("846599")</f>
        <v>846599</v>
      </c>
      <c r="B1233" t="str">
        <f>T("Machines-outils pour le travail du bois, des matières plastiques dures, etc. (sauf outillage à main, machines pouvant effectuer différents types d'opérations d'usinage sans changement d'outils entre les opérations; machines à scier, à dégauchir ou à rabot")</f>
        <v>Machines-outils pour le travail du bois, des matières plastiques dures, etc. (sauf outillage à main, machines pouvant effectuer différents types d'opérations d'usinage sans changement d'outils entre les opérations; machines à scier, à dégauchir ou à rabot</v>
      </c>
    </row>
    <row r="1234" spans="1:4" x14ac:dyDescent="0.25">
      <c r="A1234" t="str">
        <f>T("   ZZZ_Monde")</f>
        <v xml:space="preserve">   ZZZ_Monde</v>
      </c>
      <c r="B1234" t="str">
        <f>T("   ZZZ_Monde")</f>
        <v xml:space="preserve">   ZZZ_Monde</v>
      </c>
      <c r="C1234">
        <v>2296000</v>
      </c>
      <c r="D1234">
        <v>200</v>
      </c>
    </row>
    <row r="1235" spans="1:4" x14ac:dyDescent="0.25">
      <c r="A1235" t="str">
        <f>T("   TG")</f>
        <v xml:space="preserve">   TG</v>
      </c>
      <c r="B1235" t="str">
        <f>T("   Togo")</f>
        <v xml:space="preserve">   Togo</v>
      </c>
      <c r="C1235">
        <v>2296000</v>
      </c>
      <c r="D1235">
        <v>200</v>
      </c>
    </row>
    <row r="1236" spans="1:4" x14ac:dyDescent="0.25">
      <c r="A1236" t="str">
        <f>T("846810")</f>
        <v>846810</v>
      </c>
      <c r="B1236" t="str">
        <f>T("Chalumeaux guidés à la main pour le brasage ou le soudage aux gaz")</f>
        <v>Chalumeaux guidés à la main pour le brasage ou le soudage aux gaz</v>
      </c>
    </row>
    <row r="1237" spans="1:4" x14ac:dyDescent="0.25">
      <c r="A1237" t="str">
        <f>T("   ZZZ_Monde")</f>
        <v xml:space="preserve">   ZZZ_Monde</v>
      </c>
      <c r="B1237" t="str">
        <f>T("   ZZZ_Monde")</f>
        <v xml:space="preserve">   ZZZ_Monde</v>
      </c>
      <c r="C1237">
        <v>137752</v>
      </c>
      <c r="D1237">
        <v>26</v>
      </c>
    </row>
    <row r="1238" spans="1:4" x14ac:dyDescent="0.25">
      <c r="A1238" t="str">
        <f>T("   GH")</f>
        <v xml:space="preserve">   GH</v>
      </c>
      <c r="B1238" t="str">
        <f>T("   Ghana")</f>
        <v xml:space="preserve">   Ghana</v>
      </c>
      <c r="C1238">
        <v>137752</v>
      </c>
      <c r="D1238">
        <v>26</v>
      </c>
    </row>
    <row r="1239" spans="1:4" x14ac:dyDescent="0.25">
      <c r="A1239" t="str">
        <f>T("847030")</f>
        <v>847030</v>
      </c>
      <c r="B1239" t="str">
        <f>T("Machines à calculer autres qu'électroniques")</f>
        <v>Machines à calculer autres qu'électroniques</v>
      </c>
    </row>
    <row r="1240" spans="1:4" x14ac:dyDescent="0.25">
      <c r="A1240" t="str">
        <f>T("   ZZZ_Monde")</f>
        <v xml:space="preserve">   ZZZ_Monde</v>
      </c>
      <c r="B1240" t="str">
        <f>T("   ZZZ_Monde")</f>
        <v xml:space="preserve">   ZZZ_Monde</v>
      </c>
      <c r="C1240">
        <v>171206</v>
      </c>
      <c r="D1240">
        <v>16</v>
      </c>
    </row>
    <row r="1241" spans="1:4" x14ac:dyDescent="0.25">
      <c r="A1241" t="str">
        <f>T("   NG")</f>
        <v xml:space="preserve">   NG</v>
      </c>
      <c r="B1241" t="str">
        <f>T("   Nigéria")</f>
        <v xml:space="preserve">   Nigéria</v>
      </c>
      <c r="C1241">
        <v>171206</v>
      </c>
      <c r="D1241">
        <v>16</v>
      </c>
    </row>
    <row r="1242" spans="1:4" x14ac:dyDescent="0.25">
      <c r="A1242" t="str">
        <f>T("847170")</f>
        <v>847170</v>
      </c>
      <c r="B1242" t="str">
        <f>T("UNITÉS DE MÉMOIRE POUR MACHINES AUTOMATIQUES DE TRAITEMENT DE L'INFORMATION")</f>
        <v>UNITÉS DE MÉMOIRE POUR MACHINES AUTOMATIQUES DE TRAITEMENT DE L'INFORMATION</v>
      </c>
    </row>
    <row r="1243" spans="1:4" x14ac:dyDescent="0.25">
      <c r="A1243" t="str">
        <f>T("   ZZZ_Monde")</f>
        <v xml:space="preserve">   ZZZ_Monde</v>
      </c>
      <c r="B1243" t="str">
        <f>T("   ZZZ_Monde")</f>
        <v xml:space="preserve">   ZZZ_Monde</v>
      </c>
      <c r="C1243">
        <v>4257501</v>
      </c>
      <c r="D1243">
        <v>394</v>
      </c>
    </row>
    <row r="1244" spans="1:4" x14ac:dyDescent="0.25">
      <c r="A1244" t="str">
        <f>T("   NG")</f>
        <v xml:space="preserve">   NG</v>
      </c>
      <c r="B1244" t="str">
        <f>T("   Nigéria")</f>
        <v xml:space="preserve">   Nigéria</v>
      </c>
      <c r="C1244">
        <v>4257501</v>
      </c>
      <c r="D1244">
        <v>394</v>
      </c>
    </row>
    <row r="1245" spans="1:4" x14ac:dyDescent="0.25">
      <c r="A1245" t="str">
        <f>T("847220")</f>
        <v>847220</v>
      </c>
      <c r="B1245" t="str">
        <f>T("Machines à imprimer les adresses ou à estamper les plaques d'adresses (sauf machines à écrire automatiques, machines automatiques pour le traitement de l'information et leurs unités et sauf imprimantes à laser, imprimantes thermiques ou imprimantes électr")</f>
        <v>Machines à imprimer les adresses ou à estamper les plaques d'adresses (sauf machines à écrire automatiques, machines automatiques pour le traitement de l'information et leurs unités et sauf imprimantes à laser, imprimantes thermiques ou imprimantes électr</v>
      </c>
    </row>
    <row r="1246" spans="1:4" x14ac:dyDescent="0.25">
      <c r="A1246" t="str">
        <f>T("   ZZZ_Monde")</f>
        <v xml:space="preserve">   ZZZ_Monde</v>
      </c>
      <c r="B1246" t="str">
        <f>T("   ZZZ_Monde")</f>
        <v xml:space="preserve">   ZZZ_Monde</v>
      </c>
      <c r="C1246">
        <v>250000</v>
      </c>
      <c r="D1246">
        <v>250</v>
      </c>
    </row>
    <row r="1247" spans="1:4" x14ac:dyDescent="0.25">
      <c r="A1247" t="str">
        <f>T("   GN")</f>
        <v xml:space="preserve">   GN</v>
      </c>
      <c r="B1247" t="str">
        <f>T("   Guinée")</f>
        <v xml:space="preserve">   Guinée</v>
      </c>
      <c r="C1247">
        <v>250000</v>
      </c>
      <c r="D1247">
        <v>250</v>
      </c>
    </row>
    <row r="1248" spans="1:4" x14ac:dyDescent="0.25">
      <c r="A1248" t="str">
        <f>T("847431")</f>
        <v>847431</v>
      </c>
      <c r="B1248" t="str">
        <f>T("Bétonnières et appareils à gâcher le ciment (sauf montés sur wagons de chemins de fer ou sur châssis de véhicules automobiles)")</f>
        <v>Bétonnières et appareils à gâcher le ciment (sauf montés sur wagons de chemins de fer ou sur châssis de véhicules automobiles)</v>
      </c>
    </row>
    <row r="1249" spans="1:4" x14ac:dyDescent="0.25">
      <c r="A1249" t="str">
        <f>T("   ZZZ_Monde")</f>
        <v xml:space="preserve">   ZZZ_Monde</v>
      </c>
      <c r="B1249" t="str">
        <f>T("   ZZZ_Monde")</f>
        <v xml:space="preserve">   ZZZ_Monde</v>
      </c>
      <c r="C1249">
        <v>28325050</v>
      </c>
      <c r="D1249">
        <v>42605</v>
      </c>
    </row>
    <row r="1250" spans="1:4" x14ac:dyDescent="0.25">
      <c r="A1250" t="str">
        <f>T("   BF")</f>
        <v xml:space="preserve">   BF</v>
      </c>
      <c r="B1250" t="str">
        <f>T("   Burkina Faso")</f>
        <v xml:space="preserve">   Burkina Faso</v>
      </c>
      <c r="C1250">
        <v>6618000</v>
      </c>
      <c r="D1250">
        <v>8560</v>
      </c>
    </row>
    <row r="1251" spans="1:4" x14ac:dyDescent="0.25">
      <c r="A1251" t="str">
        <f>T("   GA")</f>
        <v xml:space="preserve">   GA</v>
      </c>
      <c r="B1251" t="str">
        <f>T("   Gabon")</f>
        <v xml:space="preserve">   Gabon</v>
      </c>
      <c r="C1251">
        <v>1000000</v>
      </c>
      <c r="D1251">
        <v>16800</v>
      </c>
    </row>
    <row r="1252" spans="1:4" x14ac:dyDescent="0.25">
      <c r="A1252" t="str">
        <f>T("   NE")</f>
        <v xml:space="preserve">   NE</v>
      </c>
      <c r="B1252" t="str">
        <f>T("   Niger")</f>
        <v xml:space="preserve">   Niger</v>
      </c>
      <c r="C1252">
        <v>4707050</v>
      </c>
      <c r="D1252">
        <v>4800</v>
      </c>
    </row>
    <row r="1253" spans="1:4" x14ac:dyDescent="0.25">
      <c r="A1253" t="str">
        <f>T("   TG")</f>
        <v xml:space="preserve">   TG</v>
      </c>
      <c r="B1253" t="str">
        <f>T("   Togo")</f>
        <v xml:space="preserve">   Togo</v>
      </c>
      <c r="C1253">
        <v>16000000</v>
      </c>
      <c r="D1253">
        <v>12445</v>
      </c>
    </row>
    <row r="1254" spans="1:4" x14ac:dyDescent="0.25">
      <c r="A1254" t="str">
        <f>T("847439")</f>
        <v>847439</v>
      </c>
      <c r="B1254" t="str">
        <f>T("Machines et appareils à mélanger ou à malaxer les matières minérales solides, y.c. -les poudres et les pâtes- (sauf bétonnières et appareils à gâcher le ciment, machines à mélanger les matières minérales au bitume et sauf calandres)")</f>
        <v>Machines et appareils à mélanger ou à malaxer les matières minérales solides, y.c. -les poudres et les pâtes- (sauf bétonnières et appareils à gâcher le ciment, machines à mélanger les matières minérales au bitume et sauf calandres)</v>
      </c>
    </row>
    <row r="1255" spans="1:4" x14ac:dyDescent="0.25">
      <c r="A1255" t="str">
        <f>T("   ZZZ_Monde")</f>
        <v xml:space="preserve">   ZZZ_Monde</v>
      </c>
      <c r="B1255" t="str">
        <f>T("   ZZZ_Monde")</f>
        <v xml:space="preserve">   ZZZ_Monde</v>
      </c>
      <c r="C1255">
        <v>21449420</v>
      </c>
      <c r="D1255">
        <v>31718</v>
      </c>
    </row>
    <row r="1256" spans="1:4" x14ac:dyDescent="0.25">
      <c r="A1256" t="str">
        <f>T("   FR")</f>
        <v xml:space="preserve">   FR</v>
      </c>
      <c r="B1256" t="str">
        <f>T("   France")</f>
        <v xml:space="preserve">   France</v>
      </c>
      <c r="C1256">
        <v>6337305</v>
      </c>
      <c r="D1256">
        <v>6768</v>
      </c>
    </row>
    <row r="1257" spans="1:4" x14ac:dyDescent="0.25">
      <c r="A1257" t="str">
        <f>T("   IE")</f>
        <v xml:space="preserve">   IE</v>
      </c>
      <c r="B1257" t="str">
        <f>T("   Irlande")</f>
        <v xml:space="preserve">   Irlande</v>
      </c>
      <c r="C1257">
        <v>5865000</v>
      </c>
      <c r="D1257">
        <v>7900</v>
      </c>
    </row>
    <row r="1258" spans="1:4" x14ac:dyDescent="0.25">
      <c r="A1258" t="str">
        <f>T("   NL")</f>
        <v xml:space="preserve">   NL</v>
      </c>
      <c r="B1258" t="str">
        <f>T("   Pays-bas")</f>
        <v xml:space="preserve">   Pays-bas</v>
      </c>
      <c r="C1258">
        <v>9247115</v>
      </c>
      <c r="D1258">
        <v>17050</v>
      </c>
    </row>
    <row r="1259" spans="1:4" x14ac:dyDescent="0.25">
      <c r="A1259" t="str">
        <f>T("847480")</f>
        <v>847480</v>
      </c>
      <c r="B1259" t="str">
        <f>T("Machines à agglomérer, former ou mouler les combustibles minéraux solides, les pâtes céramiques, le ciment, le plâtre ou autres matières minérales en poudre ou pâte; machines à former les moules de fonderie en sable (sauf pour mouler ou couler le verre)")</f>
        <v>Machines à agglomérer, former ou mouler les combustibles minéraux solides, les pâtes céramiques, le ciment, le plâtre ou autres matières minérales en poudre ou pâte; machines à former les moules de fonderie en sable (sauf pour mouler ou couler le verre)</v>
      </c>
    </row>
    <row r="1260" spans="1:4" x14ac:dyDescent="0.25">
      <c r="A1260" t="str">
        <f>T("   ZZZ_Monde")</f>
        <v xml:space="preserve">   ZZZ_Monde</v>
      </c>
      <c r="B1260" t="str">
        <f>T("   ZZZ_Monde")</f>
        <v xml:space="preserve">   ZZZ_Monde</v>
      </c>
      <c r="C1260">
        <v>350939</v>
      </c>
      <c r="D1260">
        <v>56</v>
      </c>
    </row>
    <row r="1261" spans="1:4" x14ac:dyDescent="0.25">
      <c r="A1261" t="str">
        <f>T("   GH")</f>
        <v xml:space="preserve">   GH</v>
      </c>
      <c r="B1261" t="str">
        <f>T("   Ghana")</f>
        <v xml:space="preserve">   Ghana</v>
      </c>
      <c r="C1261">
        <v>350939</v>
      </c>
      <c r="D1261">
        <v>56</v>
      </c>
    </row>
    <row r="1262" spans="1:4" x14ac:dyDescent="0.25">
      <c r="A1262" t="str">
        <f>T("847890")</f>
        <v>847890</v>
      </c>
      <c r="B1262" t="str">
        <f>T("Parties des machines et appareils pour la préparation ou la transformation du tabac, n.d.a.")</f>
        <v>Parties des machines et appareils pour la préparation ou la transformation du tabac, n.d.a.</v>
      </c>
    </row>
    <row r="1263" spans="1:4" x14ac:dyDescent="0.25">
      <c r="A1263" t="str">
        <f>T("   ZZZ_Monde")</f>
        <v xml:space="preserve">   ZZZ_Monde</v>
      </c>
      <c r="B1263" t="str">
        <f>T("   ZZZ_Monde")</f>
        <v xml:space="preserve">   ZZZ_Monde</v>
      </c>
      <c r="C1263">
        <v>2109606718</v>
      </c>
      <c r="D1263">
        <v>231768</v>
      </c>
    </row>
    <row r="1264" spans="1:4" x14ac:dyDescent="0.25">
      <c r="A1264" t="str">
        <f>T("   NG")</f>
        <v xml:space="preserve">   NG</v>
      </c>
      <c r="B1264" t="str">
        <f>T("   Nigéria")</f>
        <v xml:space="preserve">   Nigéria</v>
      </c>
      <c r="C1264">
        <v>2109606718</v>
      </c>
      <c r="D1264">
        <v>231768</v>
      </c>
    </row>
    <row r="1265" spans="1:4" x14ac:dyDescent="0.25">
      <c r="A1265" t="str">
        <f>T("847910")</f>
        <v>847910</v>
      </c>
      <c r="B1265" t="str">
        <f>T("Machines et appareils pour les travaux publics, le bâtiment ou les travaux analogues, n.d.a.")</f>
        <v>Machines et appareils pour les travaux publics, le bâtiment ou les travaux analogues, n.d.a.</v>
      </c>
    </row>
    <row r="1266" spans="1:4" x14ac:dyDescent="0.25">
      <c r="A1266" t="str">
        <f>T("   ZZZ_Monde")</f>
        <v xml:space="preserve">   ZZZ_Monde</v>
      </c>
      <c r="B1266" t="str">
        <f>T("   ZZZ_Monde")</f>
        <v xml:space="preserve">   ZZZ_Monde</v>
      </c>
      <c r="C1266">
        <v>31500000</v>
      </c>
      <c r="D1266">
        <v>22280</v>
      </c>
    </row>
    <row r="1267" spans="1:4" x14ac:dyDescent="0.25">
      <c r="A1267" t="str">
        <f>T("   TG")</f>
        <v xml:space="preserve">   TG</v>
      </c>
      <c r="B1267" t="str">
        <f>T("   Togo")</f>
        <v xml:space="preserve">   Togo</v>
      </c>
      <c r="C1267">
        <v>31500000</v>
      </c>
      <c r="D1267">
        <v>22280</v>
      </c>
    </row>
    <row r="1268" spans="1:4" x14ac:dyDescent="0.25">
      <c r="A1268" t="str">
        <f>T("847989")</f>
        <v>847989</v>
      </c>
      <c r="B1268" t="str">
        <f>T("Machines et appareils, y.c. les appareils mécaniques, n.d.a.")</f>
        <v>Machines et appareils, y.c. les appareils mécaniques, n.d.a.</v>
      </c>
    </row>
    <row r="1269" spans="1:4" x14ac:dyDescent="0.25">
      <c r="A1269" t="str">
        <f>T("   ZZZ_Monde")</f>
        <v xml:space="preserve">   ZZZ_Monde</v>
      </c>
      <c r="B1269" t="str">
        <f>T("   ZZZ_Monde")</f>
        <v xml:space="preserve">   ZZZ_Monde</v>
      </c>
      <c r="C1269">
        <v>6067630</v>
      </c>
      <c r="D1269">
        <v>6500</v>
      </c>
    </row>
    <row r="1270" spans="1:4" x14ac:dyDescent="0.25">
      <c r="A1270" t="str">
        <f>T("   GH")</f>
        <v xml:space="preserve">   GH</v>
      </c>
      <c r="B1270" t="str">
        <f>T("   Ghana")</f>
        <v xml:space="preserve">   Ghana</v>
      </c>
      <c r="C1270">
        <v>6067630</v>
      </c>
      <c r="D1270">
        <v>6500</v>
      </c>
    </row>
    <row r="1271" spans="1:4" x14ac:dyDescent="0.25">
      <c r="A1271" t="str">
        <f>T("848180")</f>
        <v>848180</v>
      </c>
      <c r="B1271" t="str">
        <f>T("Articles de robinetterie et organes simil. pour tuyauteries, etc. (à l'excl. des détendeurs, valves pour transmissions oléohydrauliques ou pneumatiques, clapets et soupapes de retenue et sauf soupapes de trop-plein ou de sûreté)")</f>
        <v>Articles de robinetterie et organes simil. pour tuyauteries, etc. (à l'excl. des détendeurs, valves pour transmissions oléohydrauliques ou pneumatiques, clapets et soupapes de retenue et sauf soupapes de trop-plein ou de sûreté)</v>
      </c>
    </row>
    <row r="1272" spans="1:4" x14ac:dyDescent="0.25">
      <c r="A1272" t="str">
        <f>T("   ZZZ_Monde")</f>
        <v xml:space="preserve">   ZZZ_Monde</v>
      </c>
      <c r="B1272" t="str">
        <f>T("   ZZZ_Monde")</f>
        <v xml:space="preserve">   ZZZ_Monde</v>
      </c>
      <c r="C1272">
        <v>517743400</v>
      </c>
      <c r="D1272">
        <v>50535</v>
      </c>
    </row>
    <row r="1273" spans="1:4" x14ac:dyDescent="0.25">
      <c r="A1273" t="str">
        <f>T("   BF")</f>
        <v xml:space="preserve">   BF</v>
      </c>
      <c r="B1273" t="str">
        <f>T("   Burkina Faso")</f>
        <v xml:space="preserve">   Burkina Faso</v>
      </c>
      <c r="C1273">
        <v>517743400</v>
      </c>
      <c r="D1273">
        <v>50535</v>
      </c>
    </row>
    <row r="1274" spans="1:4" x14ac:dyDescent="0.25">
      <c r="A1274" t="str">
        <f>T("848390")</f>
        <v>848390</v>
      </c>
      <c r="B1274" t="str">
        <f>T("Roues dentées et autres organes élémentaires de transmission présentés séparément; parties d'organes mécaniques, d'organes de transmission, d'engrenages, de variateurs de vitesses, d'organes d'accouplement et d'autres organes du n° 8483, n.d.a.")</f>
        <v>Roues dentées et autres organes élémentaires de transmission présentés séparément; parties d'organes mécaniques, d'organes de transmission, d'engrenages, de variateurs de vitesses, d'organes d'accouplement et d'autres organes du n° 8483, n.d.a.</v>
      </c>
    </row>
    <row r="1275" spans="1:4" x14ac:dyDescent="0.25">
      <c r="A1275" t="str">
        <f>T("   ZZZ_Monde")</f>
        <v xml:space="preserve">   ZZZ_Monde</v>
      </c>
      <c r="B1275" t="str">
        <f>T("   ZZZ_Monde")</f>
        <v xml:space="preserve">   ZZZ_Monde</v>
      </c>
      <c r="C1275">
        <v>13345500</v>
      </c>
      <c r="D1275">
        <v>25921</v>
      </c>
    </row>
    <row r="1276" spans="1:4" x14ac:dyDescent="0.25">
      <c r="A1276" t="str">
        <f>T("   ID")</f>
        <v xml:space="preserve">   ID</v>
      </c>
      <c r="B1276" t="str">
        <f>T("   Indonésie")</f>
        <v xml:space="preserve">   Indonésie</v>
      </c>
      <c r="C1276">
        <v>13345500</v>
      </c>
      <c r="D1276">
        <v>25921</v>
      </c>
    </row>
    <row r="1277" spans="1:4" x14ac:dyDescent="0.25">
      <c r="A1277" t="str">
        <f>T("848490")</f>
        <v>848490</v>
      </c>
      <c r="B1277" t="str">
        <f>T("Jeux ou assortiments de joints de composition différente présentés en pochettes, enveloppes ou emballages analogues")</f>
        <v>Jeux ou assortiments de joints de composition différente présentés en pochettes, enveloppes ou emballages analogues</v>
      </c>
    </row>
    <row r="1278" spans="1:4" x14ac:dyDescent="0.25">
      <c r="A1278" t="str">
        <f>T("   ZZZ_Monde")</f>
        <v xml:space="preserve">   ZZZ_Monde</v>
      </c>
      <c r="B1278" t="str">
        <f>T("   ZZZ_Monde")</f>
        <v xml:space="preserve">   ZZZ_Monde</v>
      </c>
      <c r="C1278">
        <v>1461479</v>
      </c>
      <c r="D1278">
        <v>788</v>
      </c>
    </row>
    <row r="1279" spans="1:4" x14ac:dyDescent="0.25">
      <c r="A1279" t="str">
        <f>T("   GH")</f>
        <v xml:space="preserve">   GH</v>
      </c>
      <c r="B1279" t="str">
        <f>T("   Ghana")</f>
        <v xml:space="preserve">   Ghana</v>
      </c>
      <c r="C1279">
        <v>1461479</v>
      </c>
      <c r="D1279">
        <v>788</v>
      </c>
    </row>
    <row r="1280" spans="1:4" x14ac:dyDescent="0.25">
      <c r="A1280" t="str">
        <f>T("848590")</f>
        <v>848590</v>
      </c>
      <c r="B1280" t="str">
        <f>T("Parties de machines et appareils du chapitre 84, sans caractéristiques spéciales d'utilisation, n.d.a.")</f>
        <v>Parties de machines et appareils du chapitre 84, sans caractéristiques spéciales d'utilisation, n.d.a.</v>
      </c>
    </row>
    <row r="1281" spans="1:4" x14ac:dyDescent="0.25">
      <c r="A1281" t="str">
        <f>T("   ZZZ_Monde")</f>
        <v xml:space="preserve">   ZZZ_Monde</v>
      </c>
      <c r="B1281" t="str">
        <f>T("   ZZZ_Monde")</f>
        <v xml:space="preserve">   ZZZ_Monde</v>
      </c>
      <c r="C1281">
        <v>2588490</v>
      </c>
      <c r="D1281">
        <v>5099.3</v>
      </c>
    </row>
    <row r="1282" spans="1:4" x14ac:dyDescent="0.25">
      <c r="A1282" t="str">
        <f>T("   GR")</f>
        <v xml:space="preserve">   GR</v>
      </c>
      <c r="B1282" t="str">
        <f>T("   Grèce")</f>
        <v xml:space="preserve">   Grèce</v>
      </c>
      <c r="C1282">
        <v>719025</v>
      </c>
      <c r="D1282">
        <v>798</v>
      </c>
    </row>
    <row r="1283" spans="1:4" x14ac:dyDescent="0.25">
      <c r="A1283" t="str">
        <f>T("   SN")</f>
        <v xml:space="preserve">   SN</v>
      </c>
      <c r="B1283" t="str">
        <f>T("   Sénégal")</f>
        <v xml:space="preserve">   Sénégal</v>
      </c>
      <c r="C1283">
        <v>575220</v>
      </c>
      <c r="D1283">
        <v>2490.3000000000002</v>
      </c>
    </row>
    <row r="1284" spans="1:4" x14ac:dyDescent="0.25">
      <c r="A1284" t="str">
        <f>T("   TG")</f>
        <v xml:space="preserve">   TG</v>
      </c>
      <c r="B1284" t="str">
        <f>T("   Togo")</f>
        <v xml:space="preserve">   Togo</v>
      </c>
      <c r="C1284">
        <v>1294245</v>
      </c>
      <c r="D1284">
        <v>1811</v>
      </c>
    </row>
    <row r="1285" spans="1:4" x14ac:dyDescent="0.25">
      <c r="A1285" t="str">
        <f>T("850211")</f>
        <v>850211</v>
      </c>
      <c r="B1285" t="s">
        <v>18</v>
      </c>
    </row>
    <row r="1286" spans="1:4" x14ac:dyDescent="0.25">
      <c r="A1286" t="str">
        <f>T("   ZZZ_Monde")</f>
        <v xml:space="preserve">   ZZZ_Monde</v>
      </c>
      <c r="B1286" t="str">
        <f>T("   ZZZ_Monde")</f>
        <v xml:space="preserve">   ZZZ_Monde</v>
      </c>
      <c r="C1286">
        <v>67408242</v>
      </c>
      <c r="D1286">
        <v>27976.33</v>
      </c>
    </row>
    <row r="1287" spans="1:4" x14ac:dyDescent="0.25">
      <c r="A1287" t="str">
        <f>T("   FR")</f>
        <v xml:space="preserve">   FR</v>
      </c>
      <c r="B1287" t="str">
        <f>T("   France")</f>
        <v xml:space="preserve">   France</v>
      </c>
      <c r="C1287">
        <v>2099072</v>
      </c>
      <c r="D1287">
        <v>9000</v>
      </c>
    </row>
    <row r="1288" spans="1:4" x14ac:dyDescent="0.25">
      <c r="A1288" t="str">
        <f>T("   GQ")</f>
        <v xml:space="preserve">   GQ</v>
      </c>
      <c r="B1288" t="str">
        <f>T("   Guinée Equatoriale")</f>
        <v xml:space="preserve">   Guinée Equatoriale</v>
      </c>
      <c r="C1288">
        <v>1620000</v>
      </c>
      <c r="D1288">
        <v>500</v>
      </c>
    </row>
    <row r="1289" spans="1:4" x14ac:dyDescent="0.25">
      <c r="A1289" t="str">
        <f>T("   NE")</f>
        <v xml:space="preserve">   NE</v>
      </c>
      <c r="B1289" t="str">
        <f>T("   Niger")</f>
        <v xml:space="preserve">   Niger</v>
      </c>
      <c r="C1289">
        <v>11082320</v>
      </c>
      <c r="D1289">
        <v>1761.33</v>
      </c>
    </row>
    <row r="1290" spans="1:4" x14ac:dyDescent="0.25">
      <c r="A1290" t="str">
        <f>T("   NL")</f>
        <v xml:space="preserve">   NL</v>
      </c>
      <c r="B1290" t="str">
        <f>T("   Pays-bas")</f>
        <v xml:space="preserve">   Pays-bas</v>
      </c>
      <c r="C1290">
        <v>51656850</v>
      </c>
      <c r="D1290">
        <v>14700</v>
      </c>
    </row>
    <row r="1291" spans="1:4" x14ac:dyDescent="0.25">
      <c r="A1291" t="str">
        <f>T("   SN")</f>
        <v xml:space="preserve">   SN</v>
      </c>
      <c r="B1291" t="str">
        <f>T("   Sénégal")</f>
        <v xml:space="preserve">   Sénégal</v>
      </c>
      <c r="C1291">
        <v>700000</v>
      </c>
      <c r="D1291">
        <v>2000</v>
      </c>
    </row>
    <row r="1292" spans="1:4" x14ac:dyDescent="0.25">
      <c r="A1292" t="str">
        <f>T("   TZ")</f>
        <v xml:space="preserve">   TZ</v>
      </c>
      <c r="B1292" t="str">
        <f>T("   Tanzanie")</f>
        <v xml:space="preserve">   Tanzanie</v>
      </c>
      <c r="C1292">
        <v>250000</v>
      </c>
      <c r="D1292">
        <v>15</v>
      </c>
    </row>
    <row r="1293" spans="1:4" x14ac:dyDescent="0.25">
      <c r="A1293" t="str">
        <f>T("850212")</f>
        <v>850212</v>
      </c>
      <c r="B1293" t="str">
        <f>T("GROUPES ÉLECTROGÈNES À MOTEUR À PISTON À ALLUMAGE PAR COMPRESSION 'MOTEURS DIESEL OU SEMI-DIESEL', PUISSANCE &gt; 75 KVA MAIS &lt;= 375 KVA")</f>
        <v>GROUPES ÉLECTROGÈNES À MOTEUR À PISTON À ALLUMAGE PAR COMPRESSION 'MOTEURS DIESEL OU SEMI-DIESEL', PUISSANCE &gt; 75 KVA MAIS &lt;= 375 KVA</v>
      </c>
    </row>
    <row r="1294" spans="1:4" x14ac:dyDescent="0.25">
      <c r="A1294" t="str">
        <f>T("   ZZZ_Monde")</f>
        <v xml:space="preserve">   ZZZ_Monde</v>
      </c>
      <c r="B1294" t="str">
        <f>T("   ZZZ_Monde")</f>
        <v xml:space="preserve">   ZZZ_Monde</v>
      </c>
      <c r="C1294">
        <v>8579872</v>
      </c>
      <c r="D1294">
        <v>4000</v>
      </c>
    </row>
    <row r="1295" spans="1:4" x14ac:dyDescent="0.25">
      <c r="A1295" t="str">
        <f>T("   GA")</f>
        <v xml:space="preserve">   GA</v>
      </c>
      <c r="B1295" t="str">
        <f>T("   Gabon")</f>
        <v xml:space="preserve">   Gabon</v>
      </c>
      <c r="C1295">
        <v>5000000</v>
      </c>
      <c r="D1295">
        <v>1000</v>
      </c>
    </row>
    <row r="1296" spans="1:4" x14ac:dyDescent="0.25">
      <c r="A1296" t="str">
        <f>T("   GH")</f>
        <v xml:space="preserve">   GH</v>
      </c>
      <c r="B1296" t="str">
        <f>T("   Ghana")</f>
        <v xml:space="preserve">   Ghana</v>
      </c>
      <c r="C1296">
        <v>2579872</v>
      </c>
      <c r="D1296">
        <v>2000</v>
      </c>
    </row>
    <row r="1297" spans="1:4" x14ac:dyDescent="0.25">
      <c r="A1297" t="str">
        <f>T("   NE")</f>
        <v xml:space="preserve">   NE</v>
      </c>
      <c r="B1297" t="str">
        <f>T("   Niger")</f>
        <v xml:space="preserve">   Niger</v>
      </c>
      <c r="C1297">
        <v>1000000</v>
      </c>
      <c r="D1297">
        <v>1000</v>
      </c>
    </row>
    <row r="1298" spans="1:4" x14ac:dyDescent="0.25">
      <c r="A1298" t="str">
        <f>T("850213")</f>
        <v>850213</v>
      </c>
      <c r="B1298" t="s">
        <v>19</v>
      </c>
    </row>
    <row r="1299" spans="1:4" x14ac:dyDescent="0.25">
      <c r="A1299" t="str">
        <f>T("   ZZZ_Monde")</f>
        <v xml:space="preserve">   ZZZ_Monde</v>
      </c>
      <c r="B1299" t="str">
        <f>T("   ZZZ_Monde")</f>
        <v xml:space="preserve">   ZZZ_Monde</v>
      </c>
      <c r="C1299">
        <v>200000</v>
      </c>
      <c r="D1299">
        <v>6000</v>
      </c>
    </row>
    <row r="1300" spans="1:4" x14ac:dyDescent="0.25">
      <c r="A1300" t="str">
        <f>T("   GA")</f>
        <v xml:space="preserve">   GA</v>
      </c>
      <c r="B1300" t="str">
        <f>T("   Gabon")</f>
        <v xml:space="preserve">   Gabon</v>
      </c>
      <c r="C1300">
        <v>200000</v>
      </c>
      <c r="D1300">
        <v>6000</v>
      </c>
    </row>
    <row r="1301" spans="1:4" x14ac:dyDescent="0.25">
      <c r="A1301" t="str">
        <f>T("850220")</f>
        <v>850220</v>
      </c>
      <c r="B1301" t="s">
        <v>20</v>
      </c>
    </row>
    <row r="1302" spans="1:4" x14ac:dyDescent="0.25">
      <c r="A1302" t="str">
        <f>T("   ZZZ_Monde")</f>
        <v xml:space="preserve">   ZZZ_Monde</v>
      </c>
      <c r="B1302" t="str">
        <f>T("   ZZZ_Monde")</f>
        <v xml:space="preserve">   ZZZ_Monde</v>
      </c>
      <c r="C1302">
        <v>17285201</v>
      </c>
      <c r="D1302">
        <v>3860</v>
      </c>
    </row>
    <row r="1303" spans="1:4" x14ac:dyDescent="0.25">
      <c r="A1303" t="str">
        <f>T("   FR")</f>
        <v xml:space="preserve">   FR</v>
      </c>
      <c r="B1303" t="str">
        <f>T("   France")</f>
        <v xml:space="preserve">   France</v>
      </c>
      <c r="C1303">
        <v>17285201</v>
      </c>
      <c r="D1303">
        <v>3860</v>
      </c>
    </row>
    <row r="1304" spans="1:4" x14ac:dyDescent="0.25">
      <c r="A1304" t="str">
        <f>T("850239")</f>
        <v>850239</v>
      </c>
      <c r="B1304" t="str">
        <f>T("Groupes électrogènes (autres qu'à énergie éolienne et à moteurs à piston)")</f>
        <v>Groupes électrogènes (autres qu'à énergie éolienne et à moteurs à piston)</v>
      </c>
    </row>
    <row r="1305" spans="1:4" x14ac:dyDescent="0.25">
      <c r="A1305" t="str">
        <f>T("   ZZZ_Monde")</f>
        <v xml:space="preserve">   ZZZ_Monde</v>
      </c>
      <c r="B1305" t="str">
        <f>T("   ZZZ_Monde")</f>
        <v xml:space="preserve">   ZZZ_Monde</v>
      </c>
      <c r="C1305">
        <v>1017842480</v>
      </c>
      <c r="D1305">
        <v>163649</v>
      </c>
    </row>
    <row r="1306" spans="1:4" x14ac:dyDescent="0.25">
      <c r="A1306" t="str">
        <f>T("   BF")</f>
        <v xml:space="preserve">   BF</v>
      </c>
      <c r="B1306" t="str">
        <f>T("   Burkina Faso")</f>
        <v xml:space="preserve">   Burkina Faso</v>
      </c>
      <c r="C1306">
        <v>10000000</v>
      </c>
      <c r="D1306">
        <v>8256</v>
      </c>
    </row>
    <row r="1307" spans="1:4" x14ac:dyDescent="0.25">
      <c r="A1307" t="str">
        <f>T("   CN")</f>
        <v xml:space="preserve">   CN</v>
      </c>
      <c r="B1307" t="str">
        <f>T("   Chine")</f>
        <v xml:space="preserve">   Chine</v>
      </c>
      <c r="C1307">
        <v>991599435</v>
      </c>
      <c r="D1307">
        <v>142380</v>
      </c>
    </row>
    <row r="1308" spans="1:4" x14ac:dyDescent="0.25">
      <c r="A1308" t="str">
        <f>T("   GA")</f>
        <v xml:space="preserve">   GA</v>
      </c>
      <c r="B1308" t="str">
        <f>T("   Gabon")</f>
        <v xml:space="preserve">   Gabon</v>
      </c>
      <c r="C1308">
        <v>15000000</v>
      </c>
      <c r="D1308">
        <v>5000</v>
      </c>
    </row>
    <row r="1309" spans="1:4" x14ac:dyDescent="0.25">
      <c r="A1309" t="str">
        <f>T("   GN")</f>
        <v xml:space="preserve">   GN</v>
      </c>
      <c r="B1309" t="str">
        <f>T("   Guinée")</f>
        <v xml:space="preserve">   Guinée</v>
      </c>
      <c r="C1309">
        <v>1243045</v>
      </c>
      <c r="D1309">
        <v>8013</v>
      </c>
    </row>
    <row r="1310" spans="1:4" x14ac:dyDescent="0.25">
      <c r="A1310" t="str">
        <f>T("850300")</f>
        <v>850300</v>
      </c>
      <c r="B1310" t="str">
        <f>T("Parties reconnaissables comme étant exclusivement ou principalement destinées aux moteurs et machines génératrices électriques, groupes électrogènes ou convertisseurs rotatifs électriques n.d.a.")</f>
        <v>Parties reconnaissables comme étant exclusivement ou principalement destinées aux moteurs et machines génératrices électriques, groupes électrogènes ou convertisseurs rotatifs électriques n.d.a.</v>
      </c>
    </row>
    <row r="1311" spans="1:4" x14ac:dyDescent="0.25">
      <c r="A1311" t="str">
        <f>T("   ZZZ_Monde")</f>
        <v xml:space="preserve">   ZZZ_Monde</v>
      </c>
      <c r="B1311" t="str">
        <f>T("   ZZZ_Monde")</f>
        <v xml:space="preserve">   ZZZ_Monde</v>
      </c>
      <c r="C1311">
        <v>450000</v>
      </c>
      <c r="D1311">
        <v>815</v>
      </c>
    </row>
    <row r="1312" spans="1:4" x14ac:dyDescent="0.25">
      <c r="A1312" t="str">
        <f>T("   BF")</f>
        <v xml:space="preserve">   BF</v>
      </c>
      <c r="B1312" t="str">
        <f>T("   Burkina Faso")</f>
        <v xml:space="preserve">   Burkina Faso</v>
      </c>
      <c r="C1312">
        <v>450000</v>
      </c>
      <c r="D1312">
        <v>815</v>
      </c>
    </row>
    <row r="1313" spans="1:4" x14ac:dyDescent="0.25">
      <c r="A1313" t="str">
        <f>T("850680")</f>
        <v>850680</v>
      </c>
      <c r="B1313" t="str">
        <f>T("Piles et batteries de piles électriques (sauf hors d'usage et autres que piles et batteries à l'oxyde d'argent, de mercure, au bioxyde de manganèse, au lithium et à l'air-zinc)")</f>
        <v>Piles et batteries de piles électriques (sauf hors d'usage et autres que piles et batteries à l'oxyde d'argent, de mercure, au bioxyde de manganèse, au lithium et à l'air-zinc)</v>
      </c>
    </row>
    <row r="1314" spans="1:4" x14ac:dyDescent="0.25">
      <c r="A1314" t="str">
        <f>T("   ZZZ_Monde")</f>
        <v xml:space="preserve">   ZZZ_Monde</v>
      </c>
      <c r="B1314" t="str">
        <f>T("   ZZZ_Monde")</f>
        <v xml:space="preserve">   ZZZ_Monde</v>
      </c>
      <c r="C1314">
        <v>23075111</v>
      </c>
      <c r="D1314">
        <v>37450</v>
      </c>
    </row>
    <row r="1315" spans="1:4" x14ac:dyDescent="0.25">
      <c r="A1315" t="str">
        <f>T("   AE")</f>
        <v xml:space="preserve">   AE</v>
      </c>
      <c r="B1315" t="str">
        <f>T("   Emirats Arabes Unis")</f>
        <v xml:space="preserve">   Emirats Arabes Unis</v>
      </c>
      <c r="C1315">
        <v>17075111</v>
      </c>
      <c r="D1315">
        <v>11450</v>
      </c>
    </row>
    <row r="1316" spans="1:4" x14ac:dyDescent="0.25">
      <c r="A1316" t="str">
        <f>T("   DE")</f>
        <v xml:space="preserve">   DE</v>
      </c>
      <c r="B1316" t="str">
        <f>T("   Allemagne")</f>
        <v xml:space="preserve">   Allemagne</v>
      </c>
      <c r="C1316">
        <v>6000000</v>
      </c>
      <c r="D1316">
        <v>26000</v>
      </c>
    </row>
    <row r="1317" spans="1:4" x14ac:dyDescent="0.25">
      <c r="A1317" t="str">
        <f>T("851430")</f>
        <v>851430</v>
      </c>
      <c r="B1317" t="str">
        <f>T("Fours électriques industriels ou de laboratoires (autres que les fours à résistance, à chauffage indirect, les fours fonctionnant par induction ou par perte diélectrique et les étuves)")</f>
        <v>Fours électriques industriels ou de laboratoires (autres que les fours à résistance, à chauffage indirect, les fours fonctionnant par induction ou par perte diélectrique et les étuves)</v>
      </c>
    </row>
    <row r="1318" spans="1:4" x14ac:dyDescent="0.25">
      <c r="A1318" t="str">
        <f>T("   ZZZ_Monde")</f>
        <v xml:space="preserve">   ZZZ_Monde</v>
      </c>
      <c r="B1318" t="str">
        <f>T("   ZZZ_Monde")</f>
        <v xml:space="preserve">   ZZZ_Monde</v>
      </c>
      <c r="C1318">
        <v>6500000</v>
      </c>
      <c r="D1318">
        <v>800</v>
      </c>
    </row>
    <row r="1319" spans="1:4" x14ac:dyDescent="0.25">
      <c r="A1319" t="str">
        <f>T("   NE")</f>
        <v xml:space="preserve">   NE</v>
      </c>
      <c r="B1319" t="str">
        <f>T("   Niger")</f>
        <v xml:space="preserve">   Niger</v>
      </c>
      <c r="C1319">
        <v>6500000</v>
      </c>
      <c r="D1319">
        <v>800</v>
      </c>
    </row>
    <row r="1320" spans="1:4" x14ac:dyDescent="0.25">
      <c r="A1320" t="str">
        <f>T("851529")</f>
        <v>851529</v>
      </c>
      <c r="B1320" t="str">
        <f>T("MACHINES ET APPAREILS POUR LE SOUDAGE DES MÉTAUX PAR RÉSISTANCE, NON-AUTOMATIQUES")</f>
        <v>MACHINES ET APPAREILS POUR LE SOUDAGE DES MÉTAUX PAR RÉSISTANCE, NON-AUTOMATIQUES</v>
      </c>
    </row>
    <row r="1321" spans="1:4" x14ac:dyDescent="0.25">
      <c r="A1321" t="str">
        <f>T("   ZZZ_Monde")</f>
        <v xml:space="preserve">   ZZZ_Monde</v>
      </c>
      <c r="B1321" t="str">
        <f>T("   ZZZ_Monde")</f>
        <v xml:space="preserve">   ZZZ_Monde</v>
      </c>
      <c r="C1321">
        <v>150021176</v>
      </c>
      <c r="D1321">
        <v>13783</v>
      </c>
    </row>
    <row r="1322" spans="1:4" x14ac:dyDescent="0.25">
      <c r="A1322" t="str">
        <f>T("   CN")</f>
        <v xml:space="preserve">   CN</v>
      </c>
      <c r="B1322" t="str">
        <f>T("   Chine")</f>
        <v xml:space="preserve">   Chine</v>
      </c>
      <c r="C1322">
        <v>133363728</v>
      </c>
      <c r="D1322">
        <v>10640</v>
      </c>
    </row>
    <row r="1323" spans="1:4" x14ac:dyDescent="0.25">
      <c r="A1323" t="str">
        <f>T("   GH")</f>
        <v xml:space="preserve">   GH</v>
      </c>
      <c r="B1323" t="str">
        <f>T("   Ghana")</f>
        <v xml:space="preserve">   Ghana</v>
      </c>
      <c r="C1323">
        <v>16657448</v>
      </c>
      <c r="D1323">
        <v>3143</v>
      </c>
    </row>
    <row r="1324" spans="1:4" x14ac:dyDescent="0.25">
      <c r="A1324" t="str">
        <f>T("851539")</f>
        <v>851539</v>
      </c>
      <c r="B1324" t="str">
        <f>T("MACHINES ET APPAREILS POUR LE SOUDAGE DES MÉTAUX À L'ARC OU AU JET DE PLASMA, NON-AUTOMATIQUES")</f>
        <v>MACHINES ET APPAREILS POUR LE SOUDAGE DES MÉTAUX À L'ARC OU AU JET DE PLASMA, NON-AUTOMATIQUES</v>
      </c>
    </row>
    <row r="1325" spans="1:4" x14ac:dyDescent="0.25">
      <c r="A1325" t="str">
        <f>T("   ZZZ_Monde")</f>
        <v xml:space="preserve">   ZZZ_Monde</v>
      </c>
      <c r="B1325" t="str">
        <f>T("   ZZZ_Monde")</f>
        <v xml:space="preserve">   ZZZ_Monde</v>
      </c>
      <c r="C1325">
        <v>1379280</v>
      </c>
      <c r="D1325">
        <v>5260</v>
      </c>
    </row>
    <row r="1326" spans="1:4" x14ac:dyDescent="0.25">
      <c r="A1326" t="str">
        <f>T("   GH")</f>
        <v xml:space="preserve">   GH</v>
      </c>
      <c r="B1326" t="str">
        <f>T("   Ghana")</f>
        <v xml:space="preserve">   Ghana</v>
      </c>
      <c r="C1326">
        <v>1379280</v>
      </c>
      <c r="D1326">
        <v>5260</v>
      </c>
    </row>
    <row r="1327" spans="1:4" x14ac:dyDescent="0.25">
      <c r="A1327" t="str">
        <f>T("851790")</f>
        <v>851790</v>
      </c>
      <c r="B1327" t="str">
        <f>T("Parties d'appareils électriques pour la téléphonie ou la télégraphie par fil, y.c. les postes téléphoniques d'usagers par fil à combinés sans fil et les appareils pour la télécommunication par courant porteur ou pour la télécommunication numérique et des")</f>
        <v>Parties d'appareils électriques pour la téléphonie ou la télégraphie par fil, y.c. les postes téléphoniques d'usagers par fil à combinés sans fil et les appareils pour la télécommunication par courant porteur ou pour la télécommunication numérique et des</v>
      </c>
    </row>
    <row r="1328" spans="1:4" x14ac:dyDescent="0.25">
      <c r="A1328" t="str">
        <f>T("   ZZZ_Monde")</f>
        <v xml:space="preserve">   ZZZ_Monde</v>
      </c>
      <c r="B1328" t="str">
        <f>T("   ZZZ_Monde")</f>
        <v xml:space="preserve">   ZZZ_Monde</v>
      </c>
      <c r="C1328">
        <v>9000000</v>
      </c>
      <c r="D1328">
        <v>250</v>
      </c>
    </row>
    <row r="1329" spans="1:4" x14ac:dyDescent="0.25">
      <c r="A1329" t="str">
        <f>T("   TG")</f>
        <v xml:space="preserve">   TG</v>
      </c>
      <c r="B1329" t="str">
        <f>T("   Togo")</f>
        <v xml:space="preserve">   Togo</v>
      </c>
      <c r="C1329">
        <v>9000000</v>
      </c>
      <c r="D1329">
        <v>250</v>
      </c>
    </row>
    <row r="1330" spans="1:4" x14ac:dyDescent="0.25">
      <c r="A1330" t="str">
        <f>T("853669")</f>
        <v>853669</v>
      </c>
      <c r="B1330" t="str">
        <f>T("Fiches et prises de courant, pour une tension &lt;= 1.000 V (sauf douilles pour lampes)")</f>
        <v>Fiches et prises de courant, pour une tension &lt;= 1.000 V (sauf douilles pour lampes)</v>
      </c>
    </row>
    <row r="1331" spans="1:4" x14ac:dyDescent="0.25">
      <c r="A1331" t="str">
        <f>T("   ZZZ_Monde")</f>
        <v xml:space="preserve">   ZZZ_Monde</v>
      </c>
      <c r="B1331" t="str">
        <f>T("   ZZZ_Monde")</f>
        <v xml:space="preserve">   ZZZ_Monde</v>
      </c>
      <c r="C1331">
        <v>1557000</v>
      </c>
      <c r="D1331">
        <v>2440</v>
      </c>
    </row>
    <row r="1332" spans="1:4" x14ac:dyDescent="0.25">
      <c r="A1332" t="str">
        <f>T("   GA")</f>
        <v xml:space="preserve">   GA</v>
      </c>
      <c r="B1332" t="str">
        <f>T("   Gabon")</f>
        <v xml:space="preserve">   Gabon</v>
      </c>
      <c r="C1332">
        <v>1557000</v>
      </c>
      <c r="D1332">
        <v>2440</v>
      </c>
    </row>
    <row r="1333" spans="1:4" x14ac:dyDescent="0.25">
      <c r="A1333" t="str">
        <f>T("853710")</f>
        <v>853710</v>
      </c>
      <c r="B1333" t="str">
        <f>T("Tableaux, armoires et combinaisons d'appareils simil., pour la commande ou la distribution électrique, pour une tension &gt;= 1.000 V")</f>
        <v>Tableaux, armoires et combinaisons d'appareils simil., pour la commande ou la distribution électrique, pour une tension &gt;= 1.000 V</v>
      </c>
    </row>
    <row r="1334" spans="1:4" x14ac:dyDescent="0.25">
      <c r="A1334" t="str">
        <f>T("   ZZZ_Monde")</f>
        <v xml:space="preserve">   ZZZ_Monde</v>
      </c>
      <c r="B1334" t="str">
        <f>T("   ZZZ_Monde")</f>
        <v xml:space="preserve">   ZZZ_Monde</v>
      </c>
      <c r="C1334">
        <v>880299</v>
      </c>
      <c r="D1334">
        <v>166</v>
      </c>
    </row>
    <row r="1335" spans="1:4" x14ac:dyDescent="0.25">
      <c r="A1335" t="str">
        <f>T("   GH")</f>
        <v xml:space="preserve">   GH</v>
      </c>
      <c r="B1335" t="str">
        <f>T("   Ghana")</f>
        <v xml:space="preserve">   Ghana</v>
      </c>
      <c r="C1335">
        <v>880299</v>
      </c>
      <c r="D1335">
        <v>166</v>
      </c>
    </row>
    <row r="1336" spans="1:4" x14ac:dyDescent="0.25">
      <c r="A1336" t="str">
        <f>T("853890")</f>
        <v>853890</v>
      </c>
      <c r="B1336" t="str">
        <f>T("Parties reconnaissables comme étant exclusivement ou principalement destinées aux appareils du n° 8535, 8536 ou 8537, n.d.a. (à l'excl. des tableaux, panneaux, consoles, pupitres, armoires et autres supports pour articles du n° 8537, dépourvus de leurs ap")</f>
        <v>Parties reconnaissables comme étant exclusivement ou principalement destinées aux appareils du n° 8535, 8536 ou 8537, n.d.a. (à l'excl. des tableaux, panneaux, consoles, pupitres, armoires et autres supports pour articles du n° 8537, dépourvus de leurs ap</v>
      </c>
    </row>
    <row r="1337" spans="1:4" x14ac:dyDescent="0.25">
      <c r="A1337" t="str">
        <f>T("   ZZZ_Monde")</f>
        <v xml:space="preserve">   ZZZ_Monde</v>
      </c>
      <c r="B1337" t="str">
        <f>T("   ZZZ_Monde")</f>
        <v xml:space="preserve">   ZZZ_Monde</v>
      </c>
      <c r="C1337">
        <v>450000</v>
      </c>
      <c r="D1337">
        <v>7360</v>
      </c>
    </row>
    <row r="1338" spans="1:4" x14ac:dyDescent="0.25">
      <c r="A1338" t="str">
        <f>T("   TG")</f>
        <v xml:space="preserve">   TG</v>
      </c>
      <c r="B1338" t="str">
        <f>T("   Togo")</f>
        <v xml:space="preserve">   Togo</v>
      </c>
      <c r="C1338">
        <v>450000</v>
      </c>
      <c r="D1338">
        <v>7360</v>
      </c>
    </row>
    <row r="1339" spans="1:4" x14ac:dyDescent="0.25">
      <c r="A1339" t="str">
        <f>T("853931")</f>
        <v>853931</v>
      </c>
      <c r="B1339" t="str">
        <f>T("Lampes et tubes à décharge, fluorescents, à cathode chaude")</f>
        <v>Lampes et tubes à décharge, fluorescents, à cathode chaude</v>
      </c>
    </row>
    <row r="1340" spans="1:4" x14ac:dyDescent="0.25">
      <c r="A1340" t="str">
        <f>T("   ZZZ_Monde")</f>
        <v xml:space="preserve">   ZZZ_Monde</v>
      </c>
      <c r="B1340" t="str">
        <f>T("   ZZZ_Monde")</f>
        <v xml:space="preserve">   ZZZ_Monde</v>
      </c>
      <c r="C1340">
        <v>3830880</v>
      </c>
      <c r="D1340">
        <v>2187</v>
      </c>
    </row>
    <row r="1341" spans="1:4" x14ac:dyDescent="0.25">
      <c r="A1341" t="str">
        <f>T("   NE")</f>
        <v xml:space="preserve">   NE</v>
      </c>
      <c r="B1341" t="str">
        <f>T("   Niger")</f>
        <v xml:space="preserve">   Niger</v>
      </c>
      <c r="C1341">
        <v>3830880</v>
      </c>
      <c r="D1341">
        <v>2187</v>
      </c>
    </row>
    <row r="1342" spans="1:4" x14ac:dyDescent="0.25">
      <c r="A1342" t="str">
        <f>T("854420")</f>
        <v>854420</v>
      </c>
      <c r="B1342" t="str">
        <f>T("Câbles coaxiaux et autres conducteurs électriques coaxiaux, isolés")</f>
        <v>Câbles coaxiaux et autres conducteurs électriques coaxiaux, isolés</v>
      </c>
    </row>
    <row r="1343" spans="1:4" x14ac:dyDescent="0.25">
      <c r="A1343" t="str">
        <f>T("   ZZZ_Monde")</f>
        <v xml:space="preserve">   ZZZ_Monde</v>
      </c>
      <c r="B1343" t="str">
        <f>T("   ZZZ_Monde")</f>
        <v xml:space="preserve">   ZZZ_Monde</v>
      </c>
      <c r="C1343">
        <v>750000</v>
      </c>
      <c r="D1343">
        <v>500</v>
      </c>
    </row>
    <row r="1344" spans="1:4" x14ac:dyDescent="0.25">
      <c r="A1344" t="str">
        <f>T("   AE")</f>
        <v xml:space="preserve">   AE</v>
      </c>
      <c r="B1344" t="str">
        <f>T("   Emirats Arabes Unis")</f>
        <v xml:space="preserve">   Emirats Arabes Unis</v>
      </c>
      <c r="C1344">
        <v>750000</v>
      </c>
      <c r="D1344">
        <v>500</v>
      </c>
    </row>
    <row r="1345" spans="1:4" x14ac:dyDescent="0.25">
      <c r="A1345" t="str">
        <f>T("854590")</f>
        <v>854590</v>
      </c>
      <c r="B1345" t="str">
        <f>T("Articles en graphite ou en autre carbone, pour usages électriques (autres qu'électrodes et balais)")</f>
        <v>Articles en graphite ou en autre carbone, pour usages électriques (autres qu'électrodes et balais)</v>
      </c>
    </row>
    <row r="1346" spans="1:4" x14ac:dyDescent="0.25">
      <c r="A1346" t="str">
        <f>T("   ZZZ_Monde")</f>
        <v xml:space="preserve">   ZZZ_Monde</v>
      </c>
      <c r="B1346" t="str">
        <f>T("   ZZZ_Monde")</f>
        <v xml:space="preserve">   ZZZ_Monde</v>
      </c>
      <c r="C1346">
        <v>550000</v>
      </c>
      <c r="D1346">
        <v>22000</v>
      </c>
    </row>
    <row r="1347" spans="1:4" x14ac:dyDescent="0.25">
      <c r="A1347" t="str">
        <f>T("   LB")</f>
        <v xml:space="preserve">   LB</v>
      </c>
      <c r="B1347" t="str">
        <f>T("   Liban")</f>
        <v xml:space="preserve">   Liban</v>
      </c>
      <c r="C1347">
        <v>550000</v>
      </c>
      <c r="D1347">
        <v>22000</v>
      </c>
    </row>
    <row r="1348" spans="1:4" x14ac:dyDescent="0.25">
      <c r="A1348" t="str">
        <f>T("854810")</f>
        <v>854810</v>
      </c>
      <c r="B1348" t="str">
        <f>T("Déchets et débris de piles, de batteries de piles et d'accumulateurs électriques; piles et batteries de piles électriques hors d'usage et accumulateurs électriques hors d'usage")</f>
        <v>Déchets et débris de piles, de batteries de piles et d'accumulateurs électriques; piles et batteries de piles électriques hors d'usage et accumulateurs électriques hors d'usage</v>
      </c>
    </row>
    <row r="1349" spans="1:4" x14ac:dyDescent="0.25">
      <c r="A1349" t="str">
        <f>T("   ZZZ_Monde")</f>
        <v xml:space="preserve">   ZZZ_Monde</v>
      </c>
      <c r="B1349" t="str">
        <f>T("   ZZZ_Monde")</f>
        <v xml:space="preserve">   ZZZ_Monde</v>
      </c>
      <c r="C1349">
        <v>2056100</v>
      </c>
      <c r="D1349">
        <v>44596</v>
      </c>
    </row>
    <row r="1350" spans="1:4" x14ac:dyDescent="0.25">
      <c r="A1350" t="str">
        <f>T("   GH")</f>
        <v xml:space="preserve">   GH</v>
      </c>
      <c r="B1350" t="str">
        <f>T("   Ghana")</f>
        <v xml:space="preserve">   Ghana</v>
      </c>
      <c r="C1350">
        <v>1000000</v>
      </c>
      <c r="D1350">
        <v>20000</v>
      </c>
    </row>
    <row r="1351" spans="1:4" x14ac:dyDescent="0.25">
      <c r="A1351" t="str">
        <f>T("   IN")</f>
        <v xml:space="preserve">   IN</v>
      </c>
      <c r="B1351" t="str">
        <f>T("   Inde")</f>
        <v xml:space="preserve">   Inde</v>
      </c>
      <c r="C1351">
        <v>1056100</v>
      </c>
      <c r="D1351">
        <v>24596</v>
      </c>
    </row>
    <row r="1352" spans="1:4" x14ac:dyDescent="0.25">
      <c r="A1352" t="str">
        <f>T("860900")</f>
        <v>860900</v>
      </c>
      <c r="B1352" t="str">
        <f>T("CADRES ET CONTENEURS -Y.C. LES CONTENEURS-CITERNES ET LES CONTENEURS-RÉSERVOIRS- SPÉCIALEMENT CONÇUS ET ÉQUIPÉS POUR UN OU PLUSIEURS MODES DE TRANSPORT")</f>
        <v>CADRES ET CONTENEURS -Y.C. LES CONTENEURS-CITERNES ET LES CONTENEURS-RÉSERVOIRS- SPÉCIALEMENT CONÇUS ET ÉQUIPÉS POUR UN OU PLUSIEURS MODES DE TRANSPORT</v>
      </c>
    </row>
    <row r="1353" spans="1:4" x14ac:dyDescent="0.25">
      <c r="A1353" t="str">
        <f>T("   ZZZ_Monde")</f>
        <v xml:space="preserve">   ZZZ_Monde</v>
      </c>
      <c r="B1353" t="str">
        <f>T("   ZZZ_Monde")</f>
        <v xml:space="preserve">   ZZZ_Monde</v>
      </c>
      <c r="C1353">
        <v>950000</v>
      </c>
      <c r="D1353">
        <v>16000</v>
      </c>
    </row>
    <row r="1354" spans="1:4" x14ac:dyDescent="0.25">
      <c r="A1354" t="str">
        <f>T("   GA")</f>
        <v xml:space="preserve">   GA</v>
      </c>
      <c r="B1354" t="str">
        <f>T("   Gabon")</f>
        <v xml:space="preserve">   Gabon</v>
      </c>
      <c r="C1354">
        <v>950000</v>
      </c>
      <c r="D1354">
        <v>16000</v>
      </c>
    </row>
    <row r="1355" spans="1:4" x14ac:dyDescent="0.25">
      <c r="A1355" t="str">
        <f>T("870120")</f>
        <v>870120</v>
      </c>
      <c r="B1355" t="str">
        <f>T("Tracteurs routiers pour semi-remorques")</f>
        <v>Tracteurs routiers pour semi-remorques</v>
      </c>
    </row>
    <row r="1356" spans="1:4" x14ac:dyDescent="0.25">
      <c r="A1356" t="str">
        <f>T("   ZZZ_Monde")</f>
        <v xml:space="preserve">   ZZZ_Monde</v>
      </c>
      <c r="B1356" t="str">
        <f>T("   ZZZ_Monde")</f>
        <v xml:space="preserve">   ZZZ_Monde</v>
      </c>
      <c r="C1356">
        <v>68123395</v>
      </c>
      <c r="D1356">
        <v>109863</v>
      </c>
    </row>
    <row r="1357" spans="1:4" x14ac:dyDescent="0.25">
      <c r="A1357" t="str">
        <f>T("   GA")</f>
        <v xml:space="preserve">   GA</v>
      </c>
      <c r="B1357" t="str">
        <f>T("   Gabon")</f>
        <v xml:space="preserve">   Gabon</v>
      </c>
      <c r="C1357">
        <v>68123395</v>
      </c>
      <c r="D1357">
        <v>109863</v>
      </c>
    </row>
    <row r="1358" spans="1:4" x14ac:dyDescent="0.25">
      <c r="A1358" t="str">
        <f>T("870130")</f>
        <v>870130</v>
      </c>
      <c r="B1358" t="str">
        <f>T("Tracteurs à chenilles (sauf motoculteurs à chenille)")</f>
        <v>Tracteurs à chenilles (sauf motoculteurs à chenille)</v>
      </c>
    </row>
    <row r="1359" spans="1:4" x14ac:dyDescent="0.25">
      <c r="A1359" t="str">
        <f>T("   ZZZ_Monde")</f>
        <v xml:space="preserve">   ZZZ_Monde</v>
      </c>
      <c r="B1359" t="str">
        <f>T("   ZZZ_Monde")</f>
        <v xml:space="preserve">   ZZZ_Monde</v>
      </c>
      <c r="C1359">
        <v>102474072</v>
      </c>
      <c r="D1359">
        <v>18825</v>
      </c>
    </row>
    <row r="1360" spans="1:4" x14ac:dyDescent="0.25">
      <c r="A1360" t="str">
        <f>T("   NL")</f>
        <v xml:space="preserve">   NL</v>
      </c>
      <c r="B1360" t="str">
        <f>T("   Pays-bas")</f>
        <v xml:space="preserve">   Pays-bas</v>
      </c>
      <c r="C1360">
        <v>102474072</v>
      </c>
      <c r="D1360">
        <v>18825</v>
      </c>
    </row>
    <row r="1361" spans="1:4" x14ac:dyDescent="0.25">
      <c r="A1361" t="str">
        <f>T("870190")</f>
        <v>870190</v>
      </c>
      <c r="B1361" t="str">
        <f>T("Tracteurs (à l'excl. des chariots-tracteurs du n° 8709, ainsi que des motoculteurs, tracteurs routiers pour semi-remorques et tracteurs à chenilles)")</f>
        <v>Tracteurs (à l'excl. des chariots-tracteurs du n° 8709, ainsi que des motoculteurs, tracteurs routiers pour semi-remorques et tracteurs à chenilles)</v>
      </c>
    </row>
    <row r="1362" spans="1:4" x14ac:dyDescent="0.25">
      <c r="A1362" t="str">
        <f>T("   ZZZ_Monde")</f>
        <v xml:space="preserve">   ZZZ_Monde</v>
      </c>
      <c r="B1362" t="str">
        <f>T("   ZZZ_Monde")</f>
        <v xml:space="preserve">   ZZZ_Monde</v>
      </c>
      <c r="C1362">
        <v>10678800</v>
      </c>
      <c r="D1362">
        <v>27212</v>
      </c>
    </row>
    <row r="1363" spans="1:4" x14ac:dyDescent="0.25">
      <c r="A1363" t="str">
        <f>T("   GA")</f>
        <v xml:space="preserve">   GA</v>
      </c>
      <c r="B1363" t="str">
        <f>T("   Gabon")</f>
        <v xml:space="preserve">   Gabon</v>
      </c>
      <c r="C1363">
        <v>10678800</v>
      </c>
      <c r="D1363">
        <v>27212</v>
      </c>
    </row>
    <row r="1364" spans="1:4" x14ac:dyDescent="0.25">
      <c r="A1364" t="str">
        <f>T("870290")</f>
        <v>870290</v>
      </c>
      <c r="B1364" t="s">
        <v>21</v>
      </c>
    </row>
    <row r="1365" spans="1:4" x14ac:dyDescent="0.25">
      <c r="A1365" t="str">
        <f>T("   ZZZ_Monde")</f>
        <v xml:space="preserve">   ZZZ_Monde</v>
      </c>
      <c r="B1365" t="str">
        <f>T("   ZZZ_Monde")</f>
        <v xml:space="preserve">   ZZZ_Monde</v>
      </c>
      <c r="C1365">
        <v>6859600</v>
      </c>
      <c r="D1365">
        <v>2015</v>
      </c>
    </row>
    <row r="1366" spans="1:4" x14ac:dyDescent="0.25">
      <c r="A1366" t="str">
        <f>T("   GA")</f>
        <v xml:space="preserve">   GA</v>
      </c>
      <c r="B1366" t="str">
        <f>T("   Gabon")</f>
        <v xml:space="preserve">   Gabon</v>
      </c>
      <c r="C1366">
        <v>6859600</v>
      </c>
      <c r="D1366">
        <v>2015</v>
      </c>
    </row>
    <row r="1367" spans="1:4" x14ac:dyDescent="0.25">
      <c r="A1367" t="str">
        <f>T("870322")</f>
        <v>870322</v>
      </c>
      <c r="B1367" t="s">
        <v>22</v>
      </c>
    </row>
    <row r="1368" spans="1:4" x14ac:dyDescent="0.25">
      <c r="A1368" t="str">
        <f>T("   ZZZ_Monde")</f>
        <v xml:space="preserve">   ZZZ_Monde</v>
      </c>
      <c r="B1368" t="str">
        <f>T("   ZZZ_Monde")</f>
        <v xml:space="preserve">   ZZZ_Monde</v>
      </c>
      <c r="C1368">
        <v>90010330</v>
      </c>
      <c r="D1368">
        <v>42745</v>
      </c>
    </row>
    <row r="1369" spans="1:4" x14ac:dyDescent="0.25">
      <c r="A1369" t="str">
        <f>T("   BE")</f>
        <v xml:space="preserve">   BE</v>
      </c>
      <c r="B1369" t="str">
        <f>T("   Belgique")</f>
        <v xml:space="preserve">   Belgique</v>
      </c>
      <c r="C1369">
        <v>1821850</v>
      </c>
      <c r="D1369">
        <v>2640</v>
      </c>
    </row>
    <row r="1370" spans="1:4" x14ac:dyDescent="0.25">
      <c r="A1370" t="str">
        <f>T("   BI")</f>
        <v xml:space="preserve">   BI</v>
      </c>
      <c r="B1370" t="str">
        <f>T("   Burundi")</f>
        <v xml:space="preserve">   Burundi</v>
      </c>
      <c r="C1370">
        <v>1874304</v>
      </c>
      <c r="D1370">
        <v>2170</v>
      </c>
    </row>
    <row r="1371" spans="1:4" x14ac:dyDescent="0.25">
      <c r="A1371" t="str">
        <f>T("   CD")</f>
        <v xml:space="preserve">   CD</v>
      </c>
      <c r="B1371" t="str">
        <f>T("   Congo, République Démocratique")</f>
        <v xml:space="preserve">   Congo, République Démocratique</v>
      </c>
      <c r="C1371">
        <v>1159308</v>
      </c>
      <c r="D1371">
        <v>2175</v>
      </c>
    </row>
    <row r="1372" spans="1:4" x14ac:dyDescent="0.25">
      <c r="A1372" t="str">
        <f>T("   CG")</f>
        <v xml:space="preserve">   CG</v>
      </c>
      <c r="B1372" t="str">
        <f>T("   Congo (Brazzaville)")</f>
        <v xml:space="preserve">   Congo (Brazzaville)</v>
      </c>
      <c r="C1372">
        <v>9257994</v>
      </c>
      <c r="D1372">
        <v>4030</v>
      </c>
    </row>
    <row r="1373" spans="1:4" x14ac:dyDescent="0.25">
      <c r="A1373" t="str">
        <f>T("   CI")</f>
        <v xml:space="preserve">   CI</v>
      </c>
      <c r="B1373" t="str">
        <f>T("   Côte d'Ivoire")</f>
        <v xml:space="preserve">   Côte d'Ivoire</v>
      </c>
      <c r="C1373">
        <v>2863553</v>
      </c>
      <c r="D1373">
        <v>2480</v>
      </c>
    </row>
    <row r="1374" spans="1:4" x14ac:dyDescent="0.25">
      <c r="A1374" t="str">
        <f>T("   CM")</f>
        <v xml:space="preserve">   CM</v>
      </c>
      <c r="B1374" t="str">
        <f>T("   Cameroun")</f>
        <v xml:space="preserve">   Cameroun</v>
      </c>
      <c r="C1374">
        <v>1000000</v>
      </c>
      <c r="D1374">
        <v>1090</v>
      </c>
    </row>
    <row r="1375" spans="1:4" x14ac:dyDescent="0.25">
      <c r="A1375" t="str">
        <f>T("   FR")</f>
        <v xml:space="preserve">   FR</v>
      </c>
      <c r="B1375" t="str">
        <f>T("   France")</f>
        <v xml:space="preserve">   France</v>
      </c>
      <c r="C1375">
        <v>13801607</v>
      </c>
      <c r="D1375">
        <v>7360</v>
      </c>
    </row>
    <row r="1376" spans="1:4" x14ac:dyDescent="0.25">
      <c r="A1376" t="str">
        <f>T("   GA")</f>
        <v xml:space="preserve">   GA</v>
      </c>
      <c r="B1376" t="str">
        <f>T("   Gabon")</f>
        <v xml:space="preserve">   Gabon</v>
      </c>
      <c r="C1376">
        <v>21419628</v>
      </c>
      <c r="D1376">
        <v>4410</v>
      </c>
    </row>
    <row r="1377" spans="1:4" x14ac:dyDescent="0.25">
      <c r="A1377" t="str">
        <f>T("   GB")</f>
        <v xml:space="preserve">   GB</v>
      </c>
      <c r="B1377" t="str">
        <f>T("   Royaume-Uni")</f>
        <v xml:space="preserve">   Royaume-Uni</v>
      </c>
      <c r="C1377">
        <v>800000</v>
      </c>
      <c r="D1377">
        <v>1100</v>
      </c>
    </row>
    <row r="1378" spans="1:4" x14ac:dyDescent="0.25">
      <c r="A1378" t="str">
        <f>T("   GN")</f>
        <v xml:space="preserve">   GN</v>
      </c>
      <c r="B1378" t="str">
        <f>T("   Guinée")</f>
        <v xml:space="preserve">   Guinée</v>
      </c>
      <c r="C1378">
        <v>1200000</v>
      </c>
      <c r="D1378">
        <v>1450</v>
      </c>
    </row>
    <row r="1379" spans="1:4" x14ac:dyDescent="0.25">
      <c r="A1379" t="str">
        <f>T("   GQ")</f>
        <v xml:space="preserve">   GQ</v>
      </c>
      <c r="B1379" t="str">
        <f>T("   Guinée Equatoriale")</f>
        <v xml:space="preserve">   Guinée Equatoriale</v>
      </c>
      <c r="C1379">
        <v>10526892</v>
      </c>
      <c r="D1379">
        <v>4485</v>
      </c>
    </row>
    <row r="1380" spans="1:4" x14ac:dyDescent="0.25">
      <c r="A1380" t="str">
        <f>T("   MA")</f>
        <v xml:space="preserve">   MA</v>
      </c>
      <c r="B1380" t="str">
        <f>T("   Maroc")</f>
        <v xml:space="preserve">   Maroc</v>
      </c>
      <c r="C1380">
        <v>14000000</v>
      </c>
      <c r="D1380">
        <v>1065</v>
      </c>
    </row>
    <row r="1381" spans="1:4" x14ac:dyDescent="0.25">
      <c r="A1381" t="str">
        <f>T("   NL")</f>
        <v xml:space="preserve">   NL</v>
      </c>
      <c r="B1381" t="str">
        <f>T("   Pays-bas")</f>
        <v xml:space="preserve">   Pays-bas</v>
      </c>
      <c r="C1381">
        <v>900000</v>
      </c>
      <c r="D1381">
        <v>1400</v>
      </c>
    </row>
    <row r="1382" spans="1:4" x14ac:dyDescent="0.25">
      <c r="A1382" t="str">
        <f>T("   TG")</f>
        <v xml:space="preserve">   TG</v>
      </c>
      <c r="B1382" t="str">
        <f>T("   Togo")</f>
        <v xml:space="preserve">   Togo</v>
      </c>
      <c r="C1382">
        <v>1200000</v>
      </c>
      <c r="D1382">
        <v>1890</v>
      </c>
    </row>
    <row r="1383" spans="1:4" x14ac:dyDescent="0.25">
      <c r="A1383" t="str">
        <f>T("   TN")</f>
        <v xml:space="preserve">   TN</v>
      </c>
      <c r="B1383" t="str">
        <f>T("   Tunisie")</f>
        <v xml:space="preserve">   Tunisie</v>
      </c>
      <c r="C1383">
        <v>2000000</v>
      </c>
      <c r="D1383">
        <v>3090</v>
      </c>
    </row>
    <row r="1384" spans="1:4" x14ac:dyDescent="0.25">
      <c r="A1384" t="str">
        <f>T("   US")</f>
        <v xml:space="preserve">   US</v>
      </c>
      <c r="B1384" t="str">
        <f>T("   Etats-Unis")</f>
        <v xml:space="preserve">   Etats-Unis</v>
      </c>
      <c r="C1384">
        <v>6185194</v>
      </c>
      <c r="D1384">
        <v>1910</v>
      </c>
    </row>
    <row r="1385" spans="1:4" x14ac:dyDescent="0.25">
      <c r="A1385" t="str">
        <f>T("870323")</f>
        <v>870323</v>
      </c>
      <c r="B1385" t="s">
        <v>23</v>
      </c>
    </row>
    <row r="1386" spans="1:4" x14ac:dyDescent="0.25">
      <c r="A1386" t="str">
        <f>T("   ZZZ_Monde")</f>
        <v xml:space="preserve">   ZZZ_Monde</v>
      </c>
      <c r="B1386" t="str">
        <f>T("   ZZZ_Monde")</f>
        <v xml:space="preserve">   ZZZ_Monde</v>
      </c>
      <c r="C1386">
        <v>197619488</v>
      </c>
      <c r="D1386">
        <v>42601</v>
      </c>
    </row>
    <row r="1387" spans="1:4" x14ac:dyDescent="0.25">
      <c r="A1387" t="str">
        <f>T("   AO")</f>
        <v xml:space="preserve">   AO</v>
      </c>
      <c r="B1387" t="str">
        <f>T("   Angola")</f>
        <v xml:space="preserve">   Angola</v>
      </c>
      <c r="C1387">
        <v>61243502</v>
      </c>
      <c r="D1387">
        <v>2600</v>
      </c>
    </row>
    <row r="1388" spans="1:4" x14ac:dyDescent="0.25">
      <c r="A1388" t="str">
        <f>T("   BE")</f>
        <v xml:space="preserve">   BE</v>
      </c>
      <c r="B1388" t="str">
        <f>T("   Belgique")</f>
        <v xml:space="preserve">   Belgique</v>
      </c>
      <c r="C1388">
        <v>2930866</v>
      </c>
      <c r="D1388">
        <v>1445</v>
      </c>
    </row>
    <row r="1389" spans="1:4" x14ac:dyDescent="0.25">
      <c r="A1389" t="str">
        <f>T("   BI")</f>
        <v xml:space="preserve">   BI</v>
      </c>
      <c r="B1389" t="str">
        <f>T("   Burundi")</f>
        <v xml:space="preserve">   Burundi</v>
      </c>
      <c r="C1389">
        <v>4321910</v>
      </c>
      <c r="D1389">
        <v>1700</v>
      </c>
    </row>
    <row r="1390" spans="1:4" x14ac:dyDescent="0.25">
      <c r="A1390" t="str">
        <f>T("   CD")</f>
        <v xml:space="preserve">   CD</v>
      </c>
      <c r="B1390" t="str">
        <f>T("   Congo, République Démocratique")</f>
        <v xml:space="preserve">   Congo, République Démocratique</v>
      </c>
      <c r="C1390">
        <v>10000000</v>
      </c>
      <c r="D1390">
        <v>1220</v>
      </c>
    </row>
    <row r="1391" spans="1:4" x14ac:dyDescent="0.25">
      <c r="A1391" t="str">
        <f>T("   CI")</f>
        <v xml:space="preserve">   CI</v>
      </c>
      <c r="B1391" t="str">
        <f>T("   Côte d'Ivoire")</f>
        <v xml:space="preserve">   Côte d'Ivoire</v>
      </c>
      <c r="C1391">
        <v>14443309</v>
      </c>
      <c r="D1391">
        <v>4201</v>
      </c>
    </row>
    <row r="1392" spans="1:4" x14ac:dyDescent="0.25">
      <c r="A1392" t="str">
        <f>T("   CM")</f>
        <v xml:space="preserve">   CM</v>
      </c>
      <c r="B1392" t="str">
        <f>T("   Cameroun")</f>
        <v xml:space="preserve">   Cameroun</v>
      </c>
      <c r="C1392">
        <v>6124925</v>
      </c>
      <c r="D1392">
        <v>1445</v>
      </c>
    </row>
    <row r="1393" spans="1:4" x14ac:dyDescent="0.25">
      <c r="A1393" t="str">
        <f>T("   DE")</f>
        <v xml:space="preserve">   DE</v>
      </c>
      <c r="B1393" t="str">
        <f>T("   Allemagne")</f>
        <v xml:space="preserve">   Allemagne</v>
      </c>
      <c r="C1393">
        <v>10275780</v>
      </c>
      <c r="D1393">
        <v>1600</v>
      </c>
    </row>
    <row r="1394" spans="1:4" x14ac:dyDescent="0.25">
      <c r="A1394" t="str">
        <f>T("   FR")</f>
        <v xml:space="preserve">   FR</v>
      </c>
      <c r="B1394" t="str">
        <f>T("   France")</f>
        <v xml:space="preserve">   France</v>
      </c>
      <c r="C1394">
        <v>12647150</v>
      </c>
      <c r="D1394">
        <v>10175</v>
      </c>
    </row>
    <row r="1395" spans="1:4" x14ac:dyDescent="0.25">
      <c r="A1395" t="str">
        <f>T("   GA")</f>
        <v xml:space="preserve">   GA</v>
      </c>
      <c r="B1395" t="str">
        <f>T("   Gabon")</f>
        <v xml:space="preserve">   Gabon</v>
      </c>
      <c r="C1395">
        <v>5829336</v>
      </c>
      <c r="D1395">
        <v>2495</v>
      </c>
    </row>
    <row r="1396" spans="1:4" x14ac:dyDescent="0.25">
      <c r="A1396" t="str">
        <f>T("   GQ")</f>
        <v xml:space="preserve">   GQ</v>
      </c>
      <c r="B1396" t="str">
        <f>T("   Guinée Equatoriale")</f>
        <v xml:space="preserve">   Guinée Equatoriale</v>
      </c>
      <c r="C1396">
        <v>11608344</v>
      </c>
      <c r="D1396">
        <v>3880</v>
      </c>
    </row>
    <row r="1397" spans="1:4" x14ac:dyDescent="0.25">
      <c r="A1397" t="str">
        <f>T("   JP")</f>
        <v xml:space="preserve">   JP</v>
      </c>
      <c r="B1397" t="str">
        <f>T("   Japon")</f>
        <v xml:space="preserve">   Japon</v>
      </c>
      <c r="C1397">
        <v>5306006</v>
      </c>
      <c r="D1397">
        <v>1400</v>
      </c>
    </row>
    <row r="1398" spans="1:4" x14ac:dyDescent="0.25">
      <c r="A1398" t="str">
        <f>T("   LY")</f>
        <v xml:space="preserve">   LY</v>
      </c>
      <c r="B1398" t="str">
        <f>T("   Libyenne, Jamahiriya Arabe")</f>
        <v xml:space="preserve">   Libyenne, Jamahiriya Arabe</v>
      </c>
      <c r="C1398">
        <v>3300000</v>
      </c>
      <c r="D1398">
        <v>1330</v>
      </c>
    </row>
    <row r="1399" spans="1:4" x14ac:dyDescent="0.25">
      <c r="A1399" t="str">
        <f>T("   MR")</f>
        <v xml:space="preserve">   MR</v>
      </c>
      <c r="B1399" t="str">
        <f>T("   Mauritanie")</f>
        <v xml:space="preserve">   Mauritanie</v>
      </c>
      <c r="C1399">
        <v>5242165</v>
      </c>
      <c r="D1399">
        <v>1015</v>
      </c>
    </row>
    <row r="1400" spans="1:4" x14ac:dyDescent="0.25">
      <c r="A1400" t="str">
        <f>T("   NE")</f>
        <v xml:space="preserve">   NE</v>
      </c>
      <c r="B1400" t="str">
        <f>T("   Niger")</f>
        <v xml:space="preserve">   Niger</v>
      </c>
      <c r="C1400">
        <v>10371384</v>
      </c>
      <c r="D1400">
        <v>1717</v>
      </c>
    </row>
    <row r="1401" spans="1:4" x14ac:dyDescent="0.25">
      <c r="A1401" t="str">
        <f>T("   TD")</f>
        <v xml:space="preserve">   TD</v>
      </c>
      <c r="B1401" t="str">
        <f>T("   Tchad")</f>
        <v xml:space="preserve">   Tchad</v>
      </c>
      <c r="C1401">
        <v>3041068</v>
      </c>
      <c r="D1401">
        <v>1843</v>
      </c>
    </row>
    <row r="1402" spans="1:4" x14ac:dyDescent="0.25">
      <c r="A1402" t="str">
        <f>T("   TN")</f>
        <v xml:space="preserve">   TN</v>
      </c>
      <c r="B1402" t="str">
        <f>T("   Tunisie")</f>
        <v xml:space="preserve">   Tunisie</v>
      </c>
      <c r="C1402">
        <v>21843468</v>
      </c>
      <c r="D1402">
        <v>1635</v>
      </c>
    </row>
    <row r="1403" spans="1:4" x14ac:dyDescent="0.25">
      <c r="A1403" t="str">
        <f>T("   TZ")</f>
        <v xml:space="preserve">   TZ</v>
      </c>
      <c r="B1403" t="str">
        <f>T("   Tanzanie")</f>
        <v xml:space="preserve">   Tanzanie</v>
      </c>
      <c r="C1403">
        <v>5383690</v>
      </c>
      <c r="D1403">
        <v>1220</v>
      </c>
    </row>
    <row r="1404" spans="1:4" x14ac:dyDescent="0.25">
      <c r="A1404" t="str">
        <f>T("   US")</f>
        <v xml:space="preserve">   US</v>
      </c>
      <c r="B1404" t="str">
        <f>T("   Etats-Unis")</f>
        <v xml:space="preserve">   Etats-Unis</v>
      </c>
      <c r="C1404">
        <v>3706585</v>
      </c>
      <c r="D1404">
        <v>1680</v>
      </c>
    </row>
    <row r="1405" spans="1:4" x14ac:dyDescent="0.25">
      <c r="A1405" t="str">
        <f>T("870324")</f>
        <v>870324</v>
      </c>
      <c r="B1405" t="s">
        <v>24</v>
      </c>
    </row>
    <row r="1406" spans="1:4" x14ac:dyDescent="0.25">
      <c r="A1406" t="str">
        <f>T("   ZZZ_Monde")</f>
        <v xml:space="preserve">   ZZZ_Monde</v>
      </c>
      <c r="B1406" t="str">
        <f>T("   ZZZ_Monde")</f>
        <v xml:space="preserve">   ZZZ_Monde</v>
      </c>
      <c r="C1406">
        <v>78397826</v>
      </c>
      <c r="D1406">
        <v>5250</v>
      </c>
    </row>
    <row r="1407" spans="1:4" x14ac:dyDescent="0.25">
      <c r="A1407" t="str">
        <f>T("   FR")</f>
        <v xml:space="preserve">   FR</v>
      </c>
      <c r="B1407" t="str">
        <f>T("   France")</f>
        <v xml:space="preserve">   France</v>
      </c>
      <c r="C1407">
        <v>62208624</v>
      </c>
      <c r="D1407">
        <v>2000</v>
      </c>
    </row>
    <row r="1408" spans="1:4" x14ac:dyDescent="0.25">
      <c r="A1408" t="str">
        <f>T("   GA")</f>
        <v xml:space="preserve">   GA</v>
      </c>
      <c r="B1408" t="str">
        <f>T("   Gabon")</f>
        <v xml:space="preserve">   Gabon</v>
      </c>
      <c r="C1408">
        <v>13512776</v>
      </c>
      <c r="D1408">
        <v>1950</v>
      </c>
    </row>
    <row r="1409" spans="1:4" x14ac:dyDescent="0.25">
      <c r="A1409" t="str">
        <f>T("   TG")</f>
        <v xml:space="preserve">   TG</v>
      </c>
      <c r="B1409" t="str">
        <f>T("   Togo")</f>
        <v xml:space="preserve">   Togo</v>
      </c>
      <c r="C1409">
        <v>2676426</v>
      </c>
      <c r="D1409">
        <v>1300</v>
      </c>
    </row>
    <row r="1410" spans="1:4" x14ac:dyDescent="0.25">
      <c r="A1410" t="str">
        <f>T("870332")</f>
        <v>870332</v>
      </c>
      <c r="B1410" t="s">
        <v>25</v>
      </c>
    </row>
    <row r="1411" spans="1:4" x14ac:dyDescent="0.25">
      <c r="A1411" t="str">
        <f>T("   ZZZ_Monde")</f>
        <v xml:space="preserve">   ZZZ_Monde</v>
      </c>
      <c r="B1411" t="str">
        <f>T("   ZZZ_Monde")</f>
        <v xml:space="preserve">   ZZZ_Monde</v>
      </c>
      <c r="C1411">
        <v>6773235</v>
      </c>
      <c r="D1411">
        <v>4395</v>
      </c>
    </row>
    <row r="1412" spans="1:4" x14ac:dyDescent="0.25">
      <c r="A1412" t="str">
        <f>T("   ML")</f>
        <v xml:space="preserve">   ML</v>
      </c>
      <c r="B1412" t="str">
        <f>T("   Mali")</f>
        <v xml:space="preserve">   Mali</v>
      </c>
      <c r="C1412">
        <v>6773235</v>
      </c>
      <c r="D1412">
        <v>4395</v>
      </c>
    </row>
    <row r="1413" spans="1:4" x14ac:dyDescent="0.25">
      <c r="A1413" t="str">
        <f>T("870333")</f>
        <v>870333</v>
      </c>
      <c r="B1413" t="s">
        <v>26</v>
      </c>
    </row>
    <row r="1414" spans="1:4" x14ac:dyDescent="0.25">
      <c r="A1414" t="str">
        <f>T("   ZZZ_Monde")</f>
        <v xml:space="preserve">   ZZZ_Monde</v>
      </c>
      <c r="B1414" t="str">
        <f>T("   ZZZ_Monde")</f>
        <v xml:space="preserve">   ZZZ_Monde</v>
      </c>
      <c r="C1414">
        <v>63746346</v>
      </c>
      <c r="D1414">
        <v>7495</v>
      </c>
    </row>
    <row r="1415" spans="1:4" x14ac:dyDescent="0.25">
      <c r="A1415" t="str">
        <f>T("   CI")</f>
        <v xml:space="preserve">   CI</v>
      </c>
      <c r="B1415" t="str">
        <f>T("   Côte d'Ivoire")</f>
        <v xml:space="preserve">   Côte d'Ivoire</v>
      </c>
      <c r="C1415">
        <v>9446820</v>
      </c>
      <c r="D1415">
        <v>2085</v>
      </c>
    </row>
    <row r="1416" spans="1:4" x14ac:dyDescent="0.25">
      <c r="A1416" t="str">
        <f>T("   FR")</f>
        <v xml:space="preserve">   FR</v>
      </c>
      <c r="B1416" t="str">
        <f>T("   France")</f>
        <v xml:space="preserve">   France</v>
      </c>
      <c r="C1416">
        <v>45167664</v>
      </c>
      <c r="D1416">
        <v>2110</v>
      </c>
    </row>
    <row r="1417" spans="1:4" x14ac:dyDescent="0.25">
      <c r="A1417" t="str">
        <f>T("   JP")</f>
        <v xml:space="preserve">   JP</v>
      </c>
      <c r="B1417" t="str">
        <f>T("   Japon")</f>
        <v xml:space="preserve">   Japon</v>
      </c>
      <c r="C1417">
        <v>9131862</v>
      </c>
      <c r="D1417">
        <v>3300</v>
      </c>
    </row>
    <row r="1418" spans="1:4" x14ac:dyDescent="0.25">
      <c r="A1418" t="str">
        <f>T("870410")</f>
        <v>870410</v>
      </c>
      <c r="B1418" t="str">
        <f>T("Tombereaux automoteurs utilisés en dehors du réseau routier")</f>
        <v>Tombereaux automoteurs utilisés en dehors du réseau routier</v>
      </c>
    </row>
    <row r="1419" spans="1:4" x14ac:dyDescent="0.25">
      <c r="A1419" t="str">
        <f>T("   ZZZ_Monde")</f>
        <v xml:space="preserve">   ZZZ_Monde</v>
      </c>
      <c r="B1419" t="str">
        <f>T("   ZZZ_Monde")</f>
        <v xml:space="preserve">   ZZZ_Monde</v>
      </c>
      <c r="C1419">
        <v>272479224</v>
      </c>
      <c r="D1419">
        <v>130000</v>
      </c>
    </row>
    <row r="1420" spans="1:4" x14ac:dyDescent="0.25">
      <c r="A1420" t="str">
        <f>T("   MA")</f>
        <v xml:space="preserve">   MA</v>
      </c>
      <c r="B1420" t="str">
        <f>T("   Maroc")</f>
        <v xml:space="preserve">   Maroc</v>
      </c>
      <c r="C1420">
        <v>207333213</v>
      </c>
      <c r="D1420">
        <v>97500</v>
      </c>
    </row>
    <row r="1421" spans="1:4" x14ac:dyDescent="0.25">
      <c r="A1421" t="str">
        <f>T("   MG")</f>
        <v xml:space="preserve">   MG</v>
      </c>
      <c r="B1421" t="str">
        <f>T("   Madagascar")</f>
        <v xml:space="preserve">   Madagascar</v>
      </c>
      <c r="C1421">
        <v>65146011</v>
      </c>
      <c r="D1421">
        <v>32500</v>
      </c>
    </row>
    <row r="1422" spans="1:4" x14ac:dyDescent="0.25">
      <c r="A1422" t="str">
        <f>T("870421")</f>
        <v>870421</v>
      </c>
      <c r="B1422" t="s">
        <v>27</v>
      </c>
    </row>
    <row r="1423" spans="1:4" x14ac:dyDescent="0.25">
      <c r="A1423" t="str">
        <f>T("   ZZZ_Monde")</f>
        <v xml:space="preserve">   ZZZ_Monde</v>
      </c>
      <c r="B1423" t="str">
        <f>T("   ZZZ_Monde")</f>
        <v xml:space="preserve">   ZZZ_Monde</v>
      </c>
      <c r="C1423">
        <v>795741284</v>
      </c>
      <c r="D1423">
        <v>242098</v>
      </c>
    </row>
    <row r="1424" spans="1:4" x14ac:dyDescent="0.25">
      <c r="A1424" t="str">
        <f>T("   AE")</f>
        <v xml:space="preserve">   AE</v>
      </c>
      <c r="B1424" t="str">
        <f>T("   Emirats Arabes Unis")</f>
        <v xml:space="preserve">   Emirats Arabes Unis</v>
      </c>
      <c r="C1424">
        <v>745201135</v>
      </c>
      <c r="D1424">
        <v>175600</v>
      </c>
    </row>
    <row r="1425" spans="1:4" x14ac:dyDescent="0.25">
      <c r="A1425" t="str">
        <f>T("   CG")</f>
        <v xml:space="preserve">   CG</v>
      </c>
      <c r="B1425" t="str">
        <f>T("   Congo (Brazzaville)")</f>
        <v xml:space="preserve">   Congo (Brazzaville)</v>
      </c>
      <c r="C1425">
        <v>5705703</v>
      </c>
      <c r="D1425">
        <v>1857</v>
      </c>
    </row>
    <row r="1426" spans="1:4" x14ac:dyDescent="0.25">
      <c r="A1426" t="str">
        <f>T("   CI")</f>
        <v xml:space="preserve">   CI</v>
      </c>
      <c r="B1426" t="str">
        <f>T("   Côte d'Ivoire")</f>
        <v xml:space="preserve">   Côte d'Ivoire</v>
      </c>
      <c r="C1426">
        <v>5247680</v>
      </c>
      <c r="D1426">
        <v>3000</v>
      </c>
    </row>
    <row r="1427" spans="1:4" x14ac:dyDescent="0.25">
      <c r="A1427" t="str">
        <f>T("   GA")</f>
        <v xml:space="preserve">   GA</v>
      </c>
      <c r="B1427" t="str">
        <f>T("   Gabon")</f>
        <v xml:space="preserve">   Gabon</v>
      </c>
      <c r="C1427">
        <v>30377100</v>
      </c>
      <c r="D1427">
        <v>30900</v>
      </c>
    </row>
    <row r="1428" spans="1:4" x14ac:dyDescent="0.25">
      <c r="A1428" t="str">
        <f>T("   GN")</f>
        <v xml:space="preserve">   GN</v>
      </c>
      <c r="B1428" t="str">
        <f>T("   Guinée")</f>
        <v xml:space="preserve">   Guinée</v>
      </c>
      <c r="C1428">
        <v>1244582</v>
      </c>
      <c r="D1428">
        <v>24000</v>
      </c>
    </row>
    <row r="1429" spans="1:4" x14ac:dyDescent="0.25">
      <c r="A1429" t="str">
        <f>T("   GQ")</f>
        <v xml:space="preserve">   GQ</v>
      </c>
      <c r="B1429" t="str">
        <f>T("   Guinée Equatoriale")</f>
        <v xml:space="preserve">   Guinée Equatoriale</v>
      </c>
      <c r="C1429">
        <v>4476916</v>
      </c>
      <c r="D1429">
        <v>4796</v>
      </c>
    </row>
    <row r="1430" spans="1:4" x14ac:dyDescent="0.25">
      <c r="A1430" t="str">
        <f>T("   ML")</f>
        <v xml:space="preserve">   ML</v>
      </c>
      <c r="B1430" t="str">
        <f>T("   Mali")</f>
        <v xml:space="preserve">   Mali</v>
      </c>
      <c r="C1430">
        <v>3488168</v>
      </c>
      <c r="D1430">
        <v>1945</v>
      </c>
    </row>
    <row r="1431" spans="1:4" x14ac:dyDescent="0.25">
      <c r="A1431" t="str">
        <f>T("870422")</f>
        <v>870422</v>
      </c>
      <c r="B1431" t="s">
        <v>28</v>
      </c>
    </row>
    <row r="1432" spans="1:4" x14ac:dyDescent="0.25">
      <c r="A1432" t="str">
        <f>T("   ZZZ_Monde")</f>
        <v xml:space="preserve">   ZZZ_Monde</v>
      </c>
      <c r="B1432" t="str">
        <f>T("   ZZZ_Monde")</f>
        <v xml:space="preserve">   ZZZ_Monde</v>
      </c>
      <c r="C1432">
        <v>176654370</v>
      </c>
      <c r="D1432">
        <v>175816</v>
      </c>
    </row>
    <row r="1433" spans="1:4" x14ac:dyDescent="0.25">
      <c r="A1433" t="str">
        <f>T("   GA")</f>
        <v xml:space="preserve">   GA</v>
      </c>
      <c r="B1433" t="str">
        <f>T("   Gabon")</f>
        <v xml:space="preserve">   Gabon</v>
      </c>
      <c r="C1433">
        <v>19990223</v>
      </c>
      <c r="D1433">
        <v>76756</v>
      </c>
    </row>
    <row r="1434" spans="1:4" x14ac:dyDescent="0.25">
      <c r="A1434" t="str">
        <f>T("   GN")</f>
        <v xml:space="preserve">   GN</v>
      </c>
      <c r="B1434" t="str">
        <f>T("   Guinée")</f>
        <v xml:space="preserve">   Guinée</v>
      </c>
      <c r="C1434">
        <v>5406492</v>
      </c>
      <c r="D1434">
        <v>19000</v>
      </c>
    </row>
    <row r="1435" spans="1:4" x14ac:dyDescent="0.25">
      <c r="A1435" t="str">
        <f>T("   IT")</f>
        <v xml:space="preserve">   IT</v>
      </c>
      <c r="B1435" t="str">
        <f>T("   Italie")</f>
        <v xml:space="preserve">   Italie</v>
      </c>
      <c r="C1435">
        <v>93646160</v>
      </c>
      <c r="D1435">
        <v>39600</v>
      </c>
    </row>
    <row r="1436" spans="1:4" x14ac:dyDescent="0.25">
      <c r="A1436" t="str">
        <f>T("   ML")</f>
        <v xml:space="preserve">   ML</v>
      </c>
      <c r="B1436" t="str">
        <f>T("   Mali")</f>
        <v xml:space="preserve">   Mali</v>
      </c>
      <c r="C1436">
        <v>46823080</v>
      </c>
      <c r="D1436">
        <v>19800</v>
      </c>
    </row>
    <row r="1437" spans="1:4" x14ac:dyDescent="0.25">
      <c r="A1437" t="str">
        <f>T("   TG")</f>
        <v xml:space="preserve">   TG</v>
      </c>
      <c r="B1437" t="str">
        <f>T("   Togo")</f>
        <v xml:space="preserve">   Togo</v>
      </c>
      <c r="C1437">
        <v>10788415</v>
      </c>
      <c r="D1437">
        <v>20660</v>
      </c>
    </row>
    <row r="1438" spans="1:4" x14ac:dyDescent="0.25">
      <c r="A1438" t="str">
        <f>T("870423")</f>
        <v>870423</v>
      </c>
      <c r="B1438" t="s">
        <v>29</v>
      </c>
    </row>
    <row r="1439" spans="1:4" x14ac:dyDescent="0.25">
      <c r="A1439" t="str">
        <f>T("   ZZZ_Monde")</f>
        <v xml:space="preserve">   ZZZ_Monde</v>
      </c>
      <c r="B1439" t="str">
        <f>T("   ZZZ_Monde")</f>
        <v xml:space="preserve">   ZZZ_Monde</v>
      </c>
      <c r="C1439">
        <v>12548277</v>
      </c>
      <c r="D1439">
        <v>95616</v>
      </c>
    </row>
    <row r="1440" spans="1:4" x14ac:dyDescent="0.25">
      <c r="A1440" t="str">
        <f>T("   GA")</f>
        <v xml:space="preserve">   GA</v>
      </c>
      <c r="B1440" t="str">
        <f>T("   Gabon")</f>
        <v xml:space="preserve">   Gabon</v>
      </c>
      <c r="C1440">
        <v>2875752</v>
      </c>
      <c r="D1440">
        <v>23450</v>
      </c>
    </row>
    <row r="1441" spans="1:4" x14ac:dyDescent="0.25">
      <c r="A1441" t="str">
        <f>T("   ZA")</f>
        <v xml:space="preserve">   ZA</v>
      </c>
      <c r="B1441" t="str">
        <f>T("   Afrique du Sud")</f>
        <v xml:space="preserve">   Afrique du Sud</v>
      </c>
      <c r="C1441">
        <v>9672525</v>
      </c>
      <c r="D1441">
        <v>72166</v>
      </c>
    </row>
    <row r="1442" spans="1:4" x14ac:dyDescent="0.25">
      <c r="A1442" t="str">
        <f>T("870431")</f>
        <v>870431</v>
      </c>
      <c r="B1442" t="s">
        <v>30</v>
      </c>
    </row>
    <row r="1443" spans="1:4" x14ac:dyDescent="0.25">
      <c r="A1443" t="str">
        <f>T("   ZZZ_Monde")</f>
        <v xml:space="preserve">   ZZZ_Monde</v>
      </c>
      <c r="B1443" t="str">
        <f>T("   ZZZ_Monde")</f>
        <v xml:space="preserve">   ZZZ_Monde</v>
      </c>
      <c r="C1443">
        <v>16799731</v>
      </c>
      <c r="D1443">
        <v>17410</v>
      </c>
    </row>
    <row r="1444" spans="1:4" x14ac:dyDescent="0.25">
      <c r="A1444" t="str">
        <f>T("   CG")</f>
        <v xml:space="preserve">   CG</v>
      </c>
      <c r="B1444" t="str">
        <f>T("   Congo (Brazzaville)")</f>
        <v xml:space="preserve">   Congo (Brazzaville)</v>
      </c>
      <c r="C1444">
        <v>3874107</v>
      </c>
      <c r="D1444">
        <v>1410</v>
      </c>
    </row>
    <row r="1445" spans="1:4" x14ac:dyDescent="0.25">
      <c r="A1445" t="str">
        <f>T("   ES")</f>
        <v xml:space="preserve">   ES</v>
      </c>
      <c r="B1445" t="str">
        <f>T("   Espagne")</f>
        <v xml:space="preserve">   Espagne</v>
      </c>
      <c r="C1445">
        <v>12925624</v>
      </c>
      <c r="D1445">
        <v>16000</v>
      </c>
    </row>
    <row r="1446" spans="1:4" x14ac:dyDescent="0.25">
      <c r="A1446" t="str">
        <f>T("870530")</f>
        <v>870530</v>
      </c>
      <c r="B1446" t="str">
        <f>T("Voitures de lutte contre l'incendie (sauf véhicules affectés principalement au transport des sapeurs-pompiers)")</f>
        <v>Voitures de lutte contre l'incendie (sauf véhicules affectés principalement au transport des sapeurs-pompiers)</v>
      </c>
    </row>
    <row r="1447" spans="1:4" x14ac:dyDescent="0.25">
      <c r="A1447" t="str">
        <f>T("   ZZZ_Monde")</f>
        <v xml:space="preserve">   ZZZ_Monde</v>
      </c>
      <c r="B1447" t="str">
        <f>T("   ZZZ_Monde")</f>
        <v xml:space="preserve">   ZZZ_Monde</v>
      </c>
      <c r="C1447">
        <v>153600</v>
      </c>
      <c r="D1447">
        <v>4910</v>
      </c>
    </row>
    <row r="1448" spans="1:4" x14ac:dyDescent="0.25">
      <c r="A1448" t="str">
        <f>T("   BF")</f>
        <v xml:space="preserve">   BF</v>
      </c>
      <c r="B1448" t="str">
        <f>T("   Burkina Faso")</f>
        <v xml:space="preserve">   Burkina Faso</v>
      </c>
      <c r="C1448">
        <v>153600</v>
      </c>
      <c r="D1448">
        <v>4910</v>
      </c>
    </row>
    <row r="1449" spans="1:4" x14ac:dyDescent="0.25">
      <c r="A1449" t="str">
        <f>T("870540")</f>
        <v>870540</v>
      </c>
      <c r="B1449" t="str">
        <f>T("Camions-bétonnières")</f>
        <v>Camions-bétonnières</v>
      </c>
    </row>
    <row r="1450" spans="1:4" x14ac:dyDescent="0.25">
      <c r="A1450" t="str">
        <f>T("   ZZZ_Monde")</f>
        <v xml:space="preserve">   ZZZ_Monde</v>
      </c>
      <c r="B1450" t="str">
        <f>T("   ZZZ_Monde")</f>
        <v xml:space="preserve">   ZZZ_Monde</v>
      </c>
      <c r="C1450">
        <v>56858612</v>
      </c>
      <c r="D1450">
        <v>16100</v>
      </c>
    </row>
    <row r="1451" spans="1:4" x14ac:dyDescent="0.25">
      <c r="A1451" t="str">
        <f>T("   ML")</f>
        <v xml:space="preserve">   ML</v>
      </c>
      <c r="B1451" t="str">
        <f>T("   Mali")</f>
        <v xml:space="preserve">   Mali</v>
      </c>
      <c r="C1451">
        <v>56858612</v>
      </c>
      <c r="D1451">
        <v>16100</v>
      </c>
    </row>
    <row r="1452" spans="1:4" x14ac:dyDescent="0.25">
      <c r="A1452" t="str">
        <f>T("870600")</f>
        <v>870600</v>
      </c>
      <c r="B1452" t="str">
        <f>T("CHÂSSIS DE TRACTEURS, VÉHICULES POUR LE TRANSPORT DE &gt;= 10 PERSONNES, CHAUFFEUR INCLUS, VOITURES DE TOURISME, VÉHICULES POUR LE TRANSPORT DE MARCHANDISES ET VÉHICULES À USAGES SPÉCIAUX DU N° 8701 À 8705, ÉQUIPÉS DE LEUR MOTEUR (SAUF AVEC MOTEUR ET CABINE)")</f>
        <v>CHÂSSIS DE TRACTEURS, VÉHICULES POUR LE TRANSPORT DE &gt;= 10 PERSONNES, CHAUFFEUR INCLUS, VOITURES DE TOURISME, VÉHICULES POUR LE TRANSPORT DE MARCHANDISES ET VÉHICULES À USAGES SPÉCIAUX DU N° 8701 À 8705, ÉQUIPÉS DE LEUR MOTEUR (SAUF AVEC MOTEUR ET CABINE)</v>
      </c>
    </row>
    <row r="1453" spans="1:4" x14ac:dyDescent="0.25">
      <c r="A1453" t="str">
        <f>T("   ZZZ_Monde")</f>
        <v xml:space="preserve">   ZZZ_Monde</v>
      </c>
      <c r="B1453" t="str">
        <f>T("   ZZZ_Monde")</f>
        <v xml:space="preserve">   ZZZ_Monde</v>
      </c>
      <c r="C1453">
        <v>150000</v>
      </c>
      <c r="D1453">
        <v>1000</v>
      </c>
    </row>
    <row r="1454" spans="1:4" x14ac:dyDescent="0.25">
      <c r="A1454" t="str">
        <f>T("   CG")</f>
        <v xml:space="preserve">   CG</v>
      </c>
      <c r="B1454" t="str">
        <f>T("   Congo (Brazzaville)")</f>
        <v xml:space="preserve">   Congo (Brazzaville)</v>
      </c>
      <c r="C1454">
        <v>150000</v>
      </c>
      <c r="D1454">
        <v>1000</v>
      </c>
    </row>
    <row r="1455" spans="1:4" x14ac:dyDescent="0.25">
      <c r="A1455" t="str">
        <f>T("870839")</f>
        <v>870839</v>
      </c>
      <c r="B1455" t="str">
        <f>T("FREINS ET SERVO-FREINS, ET LEURS PARTIES, POUR DE TRACTEURS, VÉHICULES POUR LE TRANSPORT DE &gt;= 10 PERSONNES, CHAUFFEUR INCLUS, VOITURES DE TOURISME, VÉHICULES POUR LE TRANSPORT DE MARCHANDISES ET VÉHICULES À USAGES SPÉCIAUX, N.D.A.")</f>
        <v>FREINS ET SERVO-FREINS, ET LEURS PARTIES, POUR DE TRACTEURS, VÉHICULES POUR LE TRANSPORT DE &gt;= 10 PERSONNES, CHAUFFEUR INCLUS, VOITURES DE TOURISME, VÉHICULES POUR LE TRANSPORT DE MARCHANDISES ET VÉHICULES À USAGES SPÉCIAUX, N.D.A.</v>
      </c>
    </row>
    <row r="1456" spans="1:4" x14ac:dyDescent="0.25">
      <c r="A1456" t="str">
        <f>T("   ZZZ_Monde")</f>
        <v xml:space="preserve">   ZZZ_Monde</v>
      </c>
      <c r="B1456" t="str">
        <f>T("   ZZZ_Monde")</f>
        <v xml:space="preserve">   ZZZ_Monde</v>
      </c>
      <c r="C1456">
        <v>2850000</v>
      </c>
      <c r="D1456">
        <v>650</v>
      </c>
    </row>
    <row r="1457" spans="1:4" x14ac:dyDescent="0.25">
      <c r="A1457" t="str">
        <f>T("   ML")</f>
        <v xml:space="preserve">   ML</v>
      </c>
      <c r="B1457" t="str">
        <f>T("   Mali")</f>
        <v xml:space="preserve">   Mali</v>
      </c>
      <c r="C1457">
        <v>2850000</v>
      </c>
      <c r="D1457">
        <v>650</v>
      </c>
    </row>
    <row r="1458" spans="1:4" x14ac:dyDescent="0.25">
      <c r="A1458" t="str">
        <f>T("870899")</f>
        <v>870899</v>
      </c>
      <c r="B1458" t="str">
        <f>T("PARTIES ET ACCESSOIRES, POUR TRACTEURS, VÉHICULES POUR LE TRANSPORT DE &gt;= 10 PERSONNES, CHAUFFEUR INCLUS, VOITURES DE TOURISME, VÉHICULES POUR LE TRANSPORT DE MARCHANDISES ET VÉHICULES À USAGES SPÉCIAUX, N.D.A.")</f>
        <v>PARTIES ET ACCESSOIRES, POUR TRACTEURS, VÉHICULES POUR LE TRANSPORT DE &gt;= 10 PERSONNES, CHAUFFEUR INCLUS, VOITURES DE TOURISME, VÉHICULES POUR LE TRANSPORT DE MARCHANDISES ET VÉHICULES À USAGES SPÉCIAUX, N.D.A.</v>
      </c>
    </row>
    <row r="1459" spans="1:4" x14ac:dyDescent="0.25">
      <c r="A1459" t="str">
        <f>T("   ZZZ_Monde")</f>
        <v xml:space="preserve">   ZZZ_Monde</v>
      </c>
      <c r="B1459" t="str">
        <f>T("   ZZZ_Monde")</f>
        <v xml:space="preserve">   ZZZ_Monde</v>
      </c>
      <c r="C1459">
        <v>22042060</v>
      </c>
      <c r="D1459">
        <v>15738</v>
      </c>
    </row>
    <row r="1460" spans="1:4" x14ac:dyDescent="0.25">
      <c r="A1460" t="str">
        <f>T("   GA")</f>
        <v xml:space="preserve">   GA</v>
      </c>
      <c r="B1460" t="str">
        <f>T("   Gabon")</f>
        <v xml:space="preserve">   Gabon</v>
      </c>
      <c r="C1460">
        <v>20542060</v>
      </c>
      <c r="D1460">
        <v>13738</v>
      </c>
    </row>
    <row r="1461" spans="1:4" x14ac:dyDescent="0.25">
      <c r="A1461" t="str">
        <f>T("   US")</f>
        <v xml:space="preserve">   US</v>
      </c>
      <c r="B1461" t="str">
        <f>T("   Etats-Unis")</f>
        <v xml:space="preserve">   Etats-Unis</v>
      </c>
      <c r="C1461">
        <v>1500000</v>
      </c>
      <c r="D1461">
        <v>2000</v>
      </c>
    </row>
    <row r="1462" spans="1:4" x14ac:dyDescent="0.25">
      <c r="A1462" t="str">
        <f>T("871120")</f>
        <v>871120</v>
      </c>
      <c r="B1462" t="str">
        <f>T("Motocycles à moteur à piston alternatif, cylindrée &gt; 50 cm³ mais &lt;= 250 cm³")</f>
        <v>Motocycles à moteur à piston alternatif, cylindrée &gt; 50 cm³ mais &lt;= 250 cm³</v>
      </c>
    </row>
    <row r="1463" spans="1:4" x14ac:dyDescent="0.25">
      <c r="A1463" t="str">
        <f>T("   ZZZ_Monde")</f>
        <v xml:space="preserve">   ZZZ_Monde</v>
      </c>
      <c r="B1463" t="str">
        <f>T("   ZZZ_Monde")</f>
        <v xml:space="preserve">   ZZZ_Monde</v>
      </c>
      <c r="C1463">
        <v>14586424</v>
      </c>
      <c r="D1463">
        <v>2876</v>
      </c>
    </row>
    <row r="1464" spans="1:4" x14ac:dyDescent="0.25">
      <c r="A1464" t="str">
        <f>T("   ES")</f>
        <v xml:space="preserve">   ES</v>
      </c>
      <c r="B1464" t="str">
        <f>T("   Espagne")</f>
        <v xml:space="preserve">   Espagne</v>
      </c>
      <c r="C1464">
        <v>180000</v>
      </c>
      <c r="D1464">
        <v>120</v>
      </c>
    </row>
    <row r="1465" spans="1:4" x14ac:dyDescent="0.25">
      <c r="A1465" t="str">
        <f>T("   FR")</f>
        <v xml:space="preserve">   FR</v>
      </c>
      <c r="B1465" t="str">
        <f>T("   France")</f>
        <v xml:space="preserve">   France</v>
      </c>
      <c r="C1465">
        <v>11626424</v>
      </c>
      <c r="D1465">
        <v>760</v>
      </c>
    </row>
    <row r="1466" spans="1:4" x14ac:dyDescent="0.25">
      <c r="A1466" t="str">
        <f>T("   GP")</f>
        <v xml:space="preserve">   GP</v>
      </c>
      <c r="B1466" t="str">
        <f>T("   Guadeloupe")</f>
        <v xml:space="preserve">   Guadeloupe</v>
      </c>
      <c r="C1466">
        <v>590000</v>
      </c>
      <c r="D1466">
        <v>800</v>
      </c>
    </row>
    <row r="1467" spans="1:4" x14ac:dyDescent="0.25">
      <c r="A1467" t="str">
        <f>T("   GQ")</f>
        <v xml:space="preserve">   GQ</v>
      </c>
      <c r="B1467" t="str">
        <f>T("   Guinée Equatoriale")</f>
        <v xml:space="preserve">   Guinée Equatoriale</v>
      </c>
      <c r="C1467">
        <v>2190000</v>
      </c>
      <c r="D1467">
        <v>1196</v>
      </c>
    </row>
    <row r="1468" spans="1:4" x14ac:dyDescent="0.25">
      <c r="A1468" t="str">
        <f>T("871150")</f>
        <v>871150</v>
      </c>
      <c r="B1468" t="str">
        <f>T("Motocycles à moteur à piston alternatif, cylindrée &gt; 800 cm³")</f>
        <v>Motocycles à moteur à piston alternatif, cylindrée &gt; 800 cm³</v>
      </c>
    </row>
    <row r="1469" spans="1:4" x14ac:dyDescent="0.25">
      <c r="A1469" t="str">
        <f>T("   ZZZ_Monde")</f>
        <v xml:space="preserve">   ZZZ_Monde</v>
      </c>
      <c r="B1469" t="str">
        <f>T("   ZZZ_Monde")</f>
        <v xml:space="preserve">   ZZZ_Monde</v>
      </c>
      <c r="C1469">
        <v>514419</v>
      </c>
      <c r="D1469">
        <v>600</v>
      </c>
    </row>
    <row r="1470" spans="1:4" x14ac:dyDescent="0.25">
      <c r="A1470" t="str">
        <f>T("   FR")</f>
        <v xml:space="preserve">   FR</v>
      </c>
      <c r="B1470" t="str">
        <f>T("   France")</f>
        <v xml:space="preserve">   France</v>
      </c>
      <c r="C1470">
        <v>514419</v>
      </c>
      <c r="D1470">
        <v>600</v>
      </c>
    </row>
    <row r="1471" spans="1:4" x14ac:dyDescent="0.25">
      <c r="A1471" t="str">
        <f>T("871190")</f>
        <v>871190</v>
      </c>
      <c r="B1471" t="str">
        <f>T("Side-cars")</f>
        <v>Side-cars</v>
      </c>
    </row>
    <row r="1472" spans="1:4" x14ac:dyDescent="0.25">
      <c r="A1472" t="str">
        <f>T("   ZZZ_Monde")</f>
        <v xml:space="preserve">   ZZZ_Monde</v>
      </c>
      <c r="B1472" t="str">
        <f>T("   ZZZ_Monde")</f>
        <v xml:space="preserve">   ZZZ_Monde</v>
      </c>
      <c r="C1472">
        <v>1030000</v>
      </c>
      <c r="D1472">
        <v>801</v>
      </c>
    </row>
    <row r="1473" spans="1:4" x14ac:dyDescent="0.25">
      <c r="A1473" t="str">
        <f>T("   FR")</f>
        <v xml:space="preserve">   FR</v>
      </c>
      <c r="B1473" t="str">
        <f>T("   France")</f>
        <v xml:space="preserve">   France</v>
      </c>
      <c r="C1473">
        <v>530000</v>
      </c>
      <c r="D1473">
        <v>800</v>
      </c>
    </row>
    <row r="1474" spans="1:4" x14ac:dyDescent="0.25">
      <c r="A1474" t="str">
        <f>T("   LB")</f>
        <v xml:space="preserve">   LB</v>
      </c>
      <c r="B1474" t="str">
        <f>T("   Liban")</f>
        <v xml:space="preserve">   Liban</v>
      </c>
      <c r="C1474">
        <v>500000</v>
      </c>
      <c r="D1474">
        <v>1</v>
      </c>
    </row>
    <row r="1475" spans="1:4" x14ac:dyDescent="0.25">
      <c r="A1475" t="str">
        <f>T("871620")</f>
        <v>871620</v>
      </c>
      <c r="B1475" t="str">
        <f>T("Remorques et semi-remorques autochargeuses ou autodéchargeuses, pour usages agricoles")</f>
        <v>Remorques et semi-remorques autochargeuses ou autodéchargeuses, pour usages agricoles</v>
      </c>
    </row>
    <row r="1476" spans="1:4" x14ac:dyDescent="0.25">
      <c r="A1476" t="str">
        <f>T("   ZZZ_Monde")</f>
        <v xml:space="preserve">   ZZZ_Monde</v>
      </c>
      <c r="B1476" t="str">
        <f>T("   ZZZ_Monde")</f>
        <v xml:space="preserve">   ZZZ_Monde</v>
      </c>
      <c r="C1476">
        <v>4757045</v>
      </c>
      <c r="D1476">
        <v>9962</v>
      </c>
    </row>
    <row r="1477" spans="1:4" x14ac:dyDescent="0.25">
      <c r="A1477" t="str">
        <f>T("   GA")</f>
        <v xml:space="preserve">   GA</v>
      </c>
      <c r="B1477" t="str">
        <f>T("   Gabon")</f>
        <v xml:space="preserve">   Gabon</v>
      </c>
      <c r="C1477">
        <v>4757045</v>
      </c>
      <c r="D1477">
        <v>9962</v>
      </c>
    </row>
    <row r="1478" spans="1:4" x14ac:dyDescent="0.25">
      <c r="A1478" t="str">
        <f>T("871631")</f>
        <v>871631</v>
      </c>
      <c r="B1478" t="str">
        <f>T("Remorques-citernes ne circulant pas sur rails")</f>
        <v>Remorques-citernes ne circulant pas sur rails</v>
      </c>
    </row>
    <row r="1479" spans="1:4" x14ac:dyDescent="0.25">
      <c r="A1479" t="str">
        <f>T("   ZZZ_Monde")</f>
        <v xml:space="preserve">   ZZZ_Monde</v>
      </c>
      <c r="B1479" t="str">
        <f>T("   ZZZ_Monde")</f>
        <v xml:space="preserve">   ZZZ_Monde</v>
      </c>
      <c r="C1479">
        <v>11719449</v>
      </c>
      <c r="D1479">
        <v>85956</v>
      </c>
    </row>
    <row r="1480" spans="1:4" x14ac:dyDescent="0.25">
      <c r="A1480" t="str">
        <f>T("   GA")</f>
        <v xml:space="preserve">   GA</v>
      </c>
      <c r="B1480" t="str">
        <f>T("   Gabon")</f>
        <v xml:space="preserve">   Gabon</v>
      </c>
      <c r="C1480">
        <v>11719449</v>
      </c>
      <c r="D1480">
        <v>85956</v>
      </c>
    </row>
    <row r="1481" spans="1:4" x14ac:dyDescent="0.25">
      <c r="A1481" t="str">
        <f>T("871640")</f>
        <v>871640</v>
      </c>
      <c r="B1481" t="str">
        <f>T("Remorques ne circulant pas sur rails (à l'excl. des remorques pour le transport de marchandises et remorques pour l'habitation ou le camping, du type caravane)")</f>
        <v>Remorques ne circulant pas sur rails (à l'excl. des remorques pour le transport de marchandises et remorques pour l'habitation ou le camping, du type caravane)</v>
      </c>
    </row>
    <row r="1482" spans="1:4" x14ac:dyDescent="0.25">
      <c r="A1482" t="str">
        <f>T("   ZZZ_Monde")</f>
        <v xml:space="preserve">   ZZZ_Monde</v>
      </c>
      <c r="B1482" t="str">
        <f>T("   ZZZ_Monde")</f>
        <v xml:space="preserve">   ZZZ_Monde</v>
      </c>
      <c r="C1482">
        <v>4957335</v>
      </c>
      <c r="D1482">
        <v>25500</v>
      </c>
    </row>
    <row r="1483" spans="1:4" x14ac:dyDescent="0.25">
      <c r="A1483" t="str">
        <f>T("   NG")</f>
        <v xml:space="preserve">   NG</v>
      </c>
      <c r="B1483" t="str">
        <f>T("   Nigéria")</f>
        <v xml:space="preserve">   Nigéria</v>
      </c>
      <c r="C1483">
        <v>457335</v>
      </c>
      <c r="D1483">
        <v>18000</v>
      </c>
    </row>
    <row r="1484" spans="1:4" x14ac:dyDescent="0.25">
      <c r="A1484" t="str">
        <f>T("   TG")</f>
        <v xml:space="preserve">   TG</v>
      </c>
      <c r="B1484" t="str">
        <f>T("   Togo")</f>
        <v xml:space="preserve">   Togo</v>
      </c>
      <c r="C1484">
        <v>4500000</v>
      </c>
      <c r="D1484">
        <v>7500</v>
      </c>
    </row>
    <row r="1485" spans="1:4" x14ac:dyDescent="0.25">
      <c r="A1485" t="str">
        <f>T("871690")</f>
        <v>871690</v>
      </c>
      <c r="B1485" t="str">
        <f>T("PARTIES DE REMORQUES, SEMI-REMORQUES ET AUTRES VÉHICULES NON-AUTOMOBILES, N.D.A.")</f>
        <v>PARTIES DE REMORQUES, SEMI-REMORQUES ET AUTRES VÉHICULES NON-AUTOMOBILES, N.D.A.</v>
      </c>
    </row>
    <row r="1486" spans="1:4" x14ac:dyDescent="0.25">
      <c r="A1486" t="str">
        <f>T("   ZZZ_Monde")</f>
        <v xml:space="preserve">   ZZZ_Monde</v>
      </c>
      <c r="B1486" t="str">
        <f>T("   ZZZ_Monde")</f>
        <v xml:space="preserve">   ZZZ_Monde</v>
      </c>
      <c r="C1486">
        <v>2150000</v>
      </c>
      <c r="D1486">
        <v>8050</v>
      </c>
    </row>
    <row r="1487" spans="1:4" x14ac:dyDescent="0.25">
      <c r="A1487" t="str">
        <f>T("   LB")</f>
        <v xml:space="preserve">   LB</v>
      </c>
      <c r="B1487" t="str">
        <f>T("   Liban")</f>
        <v xml:space="preserve">   Liban</v>
      </c>
      <c r="C1487">
        <v>2000000</v>
      </c>
      <c r="D1487">
        <v>8000</v>
      </c>
    </row>
    <row r="1488" spans="1:4" x14ac:dyDescent="0.25">
      <c r="A1488" t="str">
        <f>T("   TG")</f>
        <v xml:space="preserve">   TG</v>
      </c>
      <c r="B1488" t="str">
        <f>T("   Togo")</f>
        <v xml:space="preserve">   Togo</v>
      </c>
      <c r="C1488">
        <v>150000</v>
      </c>
      <c r="D1488">
        <v>50</v>
      </c>
    </row>
    <row r="1489" spans="1:4" x14ac:dyDescent="0.25">
      <c r="A1489" t="str">
        <f>T("880190")</f>
        <v>880190</v>
      </c>
      <c r="B1489" t="str">
        <f>T("Ballons et dirigeables et autres véhicules aériens (non conçus pour la propulsion à moteur) (sauf planeurs et ailes volantes, cerf-volants pour enfants et ballonnets pour enfants)")</f>
        <v>Ballons et dirigeables et autres véhicules aériens (non conçus pour la propulsion à moteur) (sauf planeurs et ailes volantes, cerf-volants pour enfants et ballonnets pour enfants)</v>
      </c>
    </row>
    <row r="1490" spans="1:4" x14ac:dyDescent="0.25">
      <c r="A1490" t="str">
        <f>T("   ZZZ_Monde")</f>
        <v xml:space="preserve">   ZZZ_Monde</v>
      </c>
      <c r="B1490" t="str">
        <f>T("   ZZZ_Monde")</f>
        <v xml:space="preserve">   ZZZ_Monde</v>
      </c>
      <c r="C1490">
        <v>12922000</v>
      </c>
      <c r="D1490">
        <v>28500</v>
      </c>
    </row>
    <row r="1491" spans="1:4" x14ac:dyDescent="0.25">
      <c r="A1491" t="str">
        <f>T("   AE")</f>
        <v xml:space="preserve">   AE</v>
      </c>
      <c r="B1491" t="str">
        <f>T("   Emirats Arabes Unis")</f>
        <v xml:space="preserve">   Emirats Arabes Unis</v>
      </c>
      <c r="C1491">
        <v>12922000</v>
      </c>
      <c r="D1491">
        <v>28500</v>
      </c>
    </row>
    <row r="1492" spans="1:4" x14ac:dyDescent="0.25">
      <c r="A1492" t="str">
        <f>T("880220")</f>
        <v>880220</v>
      </c>
      <c r="B1492" t="str">
        <f>T("Avions et autres véhicules aériens, conçus pour la propulsion à moteur, sauf hélicoptères et dirigeables, d'un poids à vide &lt;= 2.000 kg")</f>
        <v>Avions et autres véhicules aériens, conçus pour la propulsion à moteur, sauf hélicoptères et dirigeables, d'un poids à vide &lt;= 2.000 kg</v>
      </c>
    </row>
    <row r="1493" spans="1:4" x14ac:dyDescent="0.25">
      <c r="A1493" t="str">
        <f>T("   ZZZ_Monde")</f>
        <v xml:space="preserve">   ZZZ_Monde</v>
      </c>
      <c r="B1493" t="str">
        <f>T("   ZZZ_Monde")</f>
        <v xml:space="preserve">   ZZZ_Monde</v>
      </c>
      <c r="C1493">
        <v>33389779</v>
      </c>
      <c r="D1493">
        <v>280</v>
      </c>
    </row>
    <row r="1494" spans="1:4" x14ac:dyDescent="0.25">
      <c r="A1494" t="str">
        <f>T("   FR")</f>
        <v xml:space="preserve">   FR</v>
      </c>
      <c r="B1494" t="str">
        <f>T("   France")</f>
        <v xml:space="preserve">   France</v>
      </c>
      <c r="C1494">
        <v>33389779</v>
      </c>
      <c r="D1494">
        <v>280</v>
      </c>
    </row>
    <row r="1495" spans="1:4" x14ac:dyDescent="0.25">
      <c r="A1495" t="str">
        <f>T("890110")</f>
        <v>890110</v>
      </c>
      <c r="B1495" t="str">
        <f>T("Paquebots, bateaux de croisières et simil., pour le transport de personnes; transbordeurs")</f>
        <v>Paquebots, bateaux de croisières et simil., pour le transport de personnes; transbordeurs</v>
      </c>
    </row>
    <row r="1496" spans="1:4" x14ac:dyDescent="0.25">
      <c r="A1496" t="str">
        <f>T("   ZZZ_Monde")</f>
        <v xml:space="preserve">   ZZZ_Monde</v>
      </c>
      <c r="B1496" t="str">
        <f>T("   ZZZ_Monde")</f>
        <v xml:space="preserve">   ZZZ_Monde</v>
      </c>
      <c r="C1496">
        <v>2500000</v>
      </c>
      <c r="D1496">
        <v>2648</v>
      </c>
    </row>
    <row r="1497" spans="1:4" x14ac:dyDescent="0.25">
      <c r="A1497" t="str">
        <f>T("   GA")</f>
        <v xml:space="preserve">   GA</v>
      </c>
      <c r="B1497" t="str">
        <f>T("   Gabon")</f>
        <v xml:space="preserve">   Gabon</v>
      </c>
      <c r="C1497">
        <v>2500000</v>
      </c>
      <c r="D1497">
        <v>2648</v>
      </c>
    </row>
    <row r="1498" spans="1:4" x14ac:dyDescent="0.25">
      <c r="A1498" t="str">
        <f>T("890190")</f>
        <v>890190</v>
      </c>
      <c r="B1498" t="str">
        <f>T("Cargos et bateaux pour le transport de personnes et de marchandises (autres que bateaux frigorifiques, bateaux-citernes, cargos et bateaux destinés essentiellement au transport des personnes)")</f>
        <v>Cargos et bateaux pour le transport de personnes et de marchandises (autres que bateaux frigorifiques, bateaux-citernes, cargos et bateaux destinés essentiellement au transport des personnes)</v>
      </c>
    </row>
    <row r="1499" spans="1:4" x14ac:dyDescent="0.25">
      <c r="A1499" t="str">
        <f>T("   ZZZ_Monde")</f>
        <v xml:space="preserve">   ZZZ_Monde</v>
      </c>
      <c r="B1499" t="str">
        <f>T("   ZZZ_Monde")</f>
        <v xml:space="preserve">   ZZZ_Monde</v>
      </c>
      <c r="C1499">
        <v>73795500</v>
      </c>
      <c r="D1499">
        <v>12000</v>
      </c>
    </row>
    <row r="1500" spans="1:4" x14ac:dyDescent="0.25">
      <c r="A1500" t="str">
        <f>T("   TG")</f>
        <v xml:space="preserve">   TG</v>
      </c>
      <c r="B1500" t="str">
        <f>T("   Togo")</f>
        <v xml:space="preserve">   Togo</v>
      </c>
      <c r="C1500">
        <v>73795500</v>
      </c>
      <c r="D1500">
        <v>12000</v>
      </c>
    </row>
    <row r="1501" spans="1:4" x14ac:dyDescent="0.25">
      <c r="A1501" t="str">
        <f>T("890391")</f>
        <v>890391</v>
      </c>
      <c r="B1501" t="str">
        <f>T("Bateaux à voile, de plaisance ou de sport, même avec moteur auxiliaire")</f>
        <v>Bateaux à voile, de plaisance ou de sport, même avec moteur auxiliaire</v>
      </c>
    </row>
    <row r="1502" spans="1:4" x14ac:dyDescent="0.25">
      <c r="A1502" t="str">
        <f>T("   ZZZ_Monde")</f>
        <v xml:space="preserve">   ZZZ_Monde</v>
      </c>
      <c r="B1502" t="str">
        <f>T("   ZZZ_Monde")</f>
        <v xml:space="preserve">   ZZZ_Monde</v>
      </c>
      <c r="C1502">
        <v>300000</v>
      </c>
      <c r="D1502">
        <v>1500</v>
      </c>
    </row>
    <row r="1503" spans="1:4" x14ac:dyDescent="0.25">
      <c r="A1503" t="str">
        <f>T("   GA")</f>
        <v xml:space="preserve">   GA</v>
      </c>
      <c r="B1503" t="str">
        <f>T("   Gabon")</f>
        <v xml:space="preserve">   Gabon</v>
      </c>
      <c r="C1503">
        <v>300000</v>
      </c>
      <c r="D1503">
        <v>1500</v>
      </c>
    </row>
    <row r="1504" spans="1:4" x14ac:dyDescent="0.25">
      <c r="A1504" t="str">
        <f>T("890399")</f>
        <v>890399</v>
      </c>
      <c r="B1504" t="str">
        <f>T("Bateaux, de plaisance ou de sport (sauf bateaux à moteur autre qu' à moteur hors-bord, bateaux à voile, même avec moteur auxiliaire, et bateaux gonflables); bateaux à rames et canoës")</f>
        <v>Bateaux, de plaisance ou de sport (sauf bateaux à moteur autre qu' à moteur hors-bord, bateaux à voile, même avec moteur auxiliaire, et bateaux gonflables); bateaux à rames et canoës</v>
      </c>
    </row>
    <row r="1505" spans="1:4" x14ac:dyDescent="0.25">
      <c r="A1505" t="str">
        <f>T("   ZZZ_Monde")</f>
        <v xml:space="preserve">   ZZZ_Monde</v>
      </c>
      <c r="B1505" t="str">
        <f>T("   ZZZ_Monde")</f>
        <v xml:space="preserve">   ZZZ_Monde</v>
      </c>
      <c r="C1505">
        <v>1314013</v>
      </c>
      <c r="D1505">
        <v>1091</v>
      </c>
    </row>
    <row r="1506" spans="1:4" x14ac:dyDescent="0.25">
      <c r="A1506" t="str">
        <f>T("   NL")</f>
        <v xml:space="preserve">   NL</v>
      </c>
      <c r="B1506" t="str">
        <f>T("   Pays-bas")</f>
        <v xml:space="preserve">   Pays-bas</v>
      </c>
      <c r="C1506">
        <v>1314013</v>
      </c>
      <c r="D1506">
        <v>1091</v>
      </c>
    </row>
    <row r="1507" spans="1:4" x14ac:dyDescent="0.25">
      <c r="A1507" t="str">
        <f>T("900911")</f>
        <v>900911</v>
      </c>
      <c r="B1507" t="str">
        <f>T("Appareils de photocopie électrostatiques, fonctionnant par reproduction directe de l'image de l'original sur la copie [procédé direct]")</f>
        <v>Appareils de photocopie électrostatiques, fonctionnant par reproduction directe de l'image de l'original sur la copie [procédé direct]</v>
      </c>
    </row>
    <row r="1508" spans="1:4" x14ac:dyDescent="0.25">
      <c r="A1508" t="str">
        <f>T("   ZZZ_Monde")</f>
        <v xml:space="preserve">   ZZZ_Monde</v>
      </c>
      <c r="B1508" t="str">
        <f>T("   ZZZ_Monde")</f>
        <v xml:space="preserve">   ZZZ_Monde</v>
      </c>
      <c r="C1508">
        <v>2220000</v>
      </c>
      <c r="D1508">
        <v>80</v>
      </c>
    </row>
    <row r="1509" spans="1:4" x14ac:dyDescent="0.25">
      <c r="A1509" t="str">
        <f>T("   NE")</f>
        <v xml:space="preserve">   NE</v>
      </c>
      <c r="B1509" t="str">
        <f>T("   Niger")</f>
        <v xml:space="preserve">   Niger</v>
      </c>
      <c r="C1509">
        <v>2220000</v>
      </c>
      <c r="D1509">
        <v>80</v>
      </c>
    </row>
    <row r="1510" spans="1:4" x14ac:dyDescent="0.25">
      <c r="A1510" t="str">
        <f>T("901580")</f>
        <v>901580</v>
      </c>
      <c r="B1510" t="str">
        <f>T("Instruments et appareils de géodésie, de topographie, d'arpentage, de nivellement, d'hydrographie, de météorologie, d'hydrologie, de géophysique ou d'océanographie (à l'excl. des boussoles, des télémètres, des théodolites, des tachéomètres, des niveaux ai")</f>
        <v>Instruments et appareils de géodésie, de topographie, d'arpentage, de nivellement, d'hydrographie, de météorologie, d'hydrologie, de géophysique ou d'océanographie (à l'excl. des boussoles, des télémètres, des théodolites, des tachéomètres, des niveaux ai</v>
      </c>
    </row>
    <row r="1511" spans="1:4" x14ac:dyDescent="0.25">
      <c r="A1511" t="str">
        <f>T("   ZZZ_Monde")</f>
        <v xml:space="preserve">   ZZZ_Monde</v>
      </c>
      <c r="B1511" t="str">
        <f>T("   ZZZ_Monde")</f>
        <v xml:space="preserve">   ZZZ_Monde</v>
      </c>
      <c r="C1511">
        <v>92738640</v>
      </c>
      <c r="D1511">
        <v>1950</v>
      </c>
    </row>
    <row r="1512" spans="1:4" x14ac:dyDescent="0.25">
      <c r="A1512" t="str">
        <f>T("   NL")</f>
        <v xml:space="preserve">   NL</v>
      </c>
      <c r="B1512" t="str">
        <f>T("   Pays-bas")</f>
        <v xml:space="preserve">   Pays-bas</v>
      </c>
      <c r="C1512">
        <v>92738640</v>
      </c>
      <c r="D1512">
        <v>1950</v>
      </c>
    </row>
    <row r="1513" spans="1:4" x14ac:dyDescent="0.25">
      <c r="A1513" t="str">
        <f>T("901590")</f>
        <v>901590</v>
      </c>
      <c r="B1513" t="str">
        <f>T("Parties et accessoires des instruments et appareils de géodésie, de topographie, d'arpentage, de nivellement, de photogrammétrie, d'hydrographie, d'océanographie, d'hydrologie, de météorologie ou de géophysique ainsi que des télémètres, n.d.a.")</f>
        <v>Parties et accessoires des instruments et appareils de géodésie, de topographie, d'arpentage, de nivellement, de photogrammétrie, d'hydrographie, d'océanographie, d'hydrologie, de météorologie ou de géophysique ainsi que des télémètres, n.d.a.</v>
      </c>
    </row>
    <row r="1514" spans="1:4" x14ac:dyDescent="0.25">
      <c r="A1514" t="str">
        <f>T("   ZZZ_Monde")</f>
        <v xml:space="preserve">   ZZZ_Monde</v>
      </c>
      <c r="B1514" t="str">
        <f>T("   ZZZ_Monde")</f>
        <v xml:space="preserve">   ZZZ_Monde</v>
      </c>
      <c r="C1514">
        <v>3001690</v>
      </c>
      <c r="D1514">
        <v>1316</v>
      </c>
    </row>
    <row r="1515" spans="1:4" x14ac:dyDescent="0.25">
      <c r="A1515" t="str">
        <f>T("   LB")</f>
        <v xml:space="preserve">   LB</v>
      </c>
      <c r="B1515" t="str">
        <f>T("   Liban")</f>
        <v xml:space="preserve">   Liban</v>
      </c>
      <c r="C1515">
        <v>3001690</v>
      </c>
      <c r="D1515">
        <v>1316</v>
      </c>
    </row>
    <row r="1516" spans="1:4" x14ac:dyDescent="0.25">
      <c r="A1516" t="str">
        <f>T("901890")</f>
        <v>901890</v>
      </c>
      <c r="B1516" t="str">
        <f>T("Instruments et appareils pour la médecine, la chirurgie ou l'art vétérinaire, n.d.a.")</f>
        <v>Instruments et appareils pour la médecine, la chirurgie ou l'art vétérinaire, n.d.a.</v>
      </c>
    </row>
    <row r="1517" spans="1:4" x14ac:dyDescent="0.25">
      <c r="A1517" t="str">
        <f>T("   ZZZ_Monde")</f>
        <v xml:space="preserve">   ZZZ_Monde</v>
      </c>
      <c r="B1517" t="str">
        <f>T("   ZZZ_Monde")</f>
        <v xml:space="preserve">   ZZZ_Monde</v>
      </c>
      <c r="C1517">
        <v>17548898</v>
      </c>
      <c r="D1517">
        <v>2803</v>
      </c>
    </row>
    <row r="1518" spans="1:4" x14ac:dyDescent="0.25">
      <c r="A1518" t="str">
        <f>T("   GH")</f>
        <v xml:space="preserve">   GH</v>
      </c>
      <c r="B1518" t="str">
        <f>T("   Ghana")</f>
        <v xml:space="preserve">   Ghana</v>
      </c>
      <c r="C1518">
        <v>17548898</v>
      </c>
      <c r="D1518">
        <v>2803</v>
      </c>
    </row>
    <row r="1519" spans="1:4" x14ac:dyDescent="0.25">
      <c r="A1519" t="str">
        <f>T("901920")</f>
        <v>901920</v>
      </c>
      <c r="B1519" t="str">
        <f>T("APPAREILS D'OZONOTHERAPIE, D'OXYGÉNOTHERAPIE, D'AÉROSOLTHERAPIE; APPAREILS RESPIRATOIRES DE RÉANIMATION ET AUTRES APPAREILS DE THERAPIE RESPIRATOIRE")</f>
        <v>APPAREILS D'OZONOTHERAPIE, D'OXYGÉNOTHERAPIE, D'AÉROSOLTHERAPIE; APPAREILS RESPIRATOIRES DE RÉANIMATION ET AUTRES APPAREILS DE THERAPIE RESPIRATOIRE</v>
      </c>
    </row>
    <row r="1520" spans="1:4" x14ac:dyDescent="0.25">
      <c r="A1520" t="str">
        <f>T("   ZZZ_Monde")</f>
        <v xml:space="preserve">   ZZZ_Monde</v>
      </c>
      <c r="B1520" t="str">
        <f>T("   ZZZ_Monde")</f>
        <v xml:space="preserve">   ZZZ_Monde</v>
      </c>
      <c r="C1520">
        <v>9885000</v>
      </c>
      <c r="D1520">
        <v>7000</v>
      </c>
    </row>
    <row r="1521" spans="1:4" x14ac:dyDescent="0.25">
      <c r="A1521" t="str">
        <f>T("   CI")</f>
        <v xml:space="preserve">   CI</v>
      </c>
      <c r="B1521" t="str">
        <f>T("   Côte d'Ivoire")</f>
        <v xml:space="preserve">   Côte d'Ivoire</v>
      </c>
      <c r="C1521">
        <v>9885000</v>
      </c>
      <c r="D1521">
        <v>7000</v>
      </c>
    </row>
    <row r="1522" spans="1:4" x14ac:dyDescent="0.25">
      <c r="A1522" t="str">
        <f>T("920790")</f>
        <v>920790</v>
      </c>
      <c r="B1522" t="str">
        <f>T("Accordéons électriques et autres instruments de musique électriques")</f>
        <v>Accordéons électriques et autres instruments de musique électriques</v>
      </c>
    </row>
    <row r="1523" spans="1:4" x14ac:dyDescent="0.25">
      <c r="A1523" t="str">
        <f>T("   ZZZ_Monde")</f>
        <v xml:space="preserve">   ZZZ_Monde</v>
      </c>
      <c r="B1523" t="str">
        <f>T("   ZZZ_Monde")</f>
        <v xml:space="preserve">   ZZZ_Monde</v>
      </c>
      <c r="C1523">
        <v>6470813</v>
      </c>
      <c r="D1523">
        <v>108000</v>
      </c>
    </row>
    <row r="1524" spans="1:4" x14ac:dyDescent="0.25">
      <c r="A1524" t="str">
        <f>T("   NG")</f>
        <v xml:space="preserve">   NG</v>
      </c>
      <c r="B1524" t="str">
        <f>T("   Nigéria")</f>
        <v xml:space="preserve">   Nigéria</v>
      </c>
      <c r="C1524">
        <v>6470813</v>
      </c>
      <c r="D1524">
        <v>108000</v>
      </c>
    </row>
    <row r="1525" spans="1:4" x14ac:dyDescent="0.25">
      <c r="A1525" t="str">
        <f>T("940180")</f>
        <v>940180</v>
      </c>
      <c r="B1525" t="str">
        <f>T("Sièges, n.d.a.")</f>
        <v>Sièges, n.d.a.</v>
      </c>
    </row>
    <row r="1526" spans="1:4" x14ac:dyDescent="0.25">
      <c r="A1526" t="str">
        <f>T("   ZZZ_Monde")</f>
        <v xml:space="preserve">   ZZZ_Monde</v>
      </c>
      <c r="B1526" t="str">
        <f>T("   ZZZ_Monde")</f>
        <v xml:space="preserve">   ZZZ_Monde</v>
      </c>
      <c r="C1526">
        <v>2471713</v>
      </c>
      <c r="D1526">
        <v>10600</v>
      </c>
    </row>
    <row r="1527" spans="1:4" x14ac:dyDescent="0.25">
      <c r="A1527" t="str">
        <f>T("   FR")</f>
        <v xml:space="preserve">   FR</v>
      </c>
      <c r="B1527" t="str">
        <f>T("   France")</f>
        <v xml:space="preserve">   France</v>
      </c>
      <c r="C1527">
        <v>1553313</v>
      </c>
      <c r="D1527">
        <v>5000</v>
      </c>
    </row>
    <row r="1528" spans="1:4" x14ac:dyDescent="0.25">
      <c r="A1528" t="str">
        <f>T("   NG")</f>
        <v xml:space="preserve">   NG</v>
      </c>
      <c r="B1528" t="str">
        <f>T("   Nigéria")</f>
        <v xml:space="preserve">   Nigéria</v>
      </c>
      <c r="C1528">
        <v>918400</v>
      </c>
      <c r="D1528">
        <v>5600</v>
      </c>
    </row>
    <row r="1529" spans="1:4" x14ac:dyDescent="0.25">
      <c r="A1529" t="str">
        <f>T("940310")</f>
        <v>940310</v>
      </c>
      <c r="B1529" t="str">
        <f>T("Meubles de bureau en métal (sauf sièges)")</f>
        <v>Meubles de bureau en métal (sauf sièges)</v>
      </c>
    </row>
    <row r="1530" spans="1:4" x14ac:dyDescent="0.25">
      <c r="A1530" t="str">
        <f>T("   ZZZ_Monde")</f>
        <v xml:space="preserve">   ZZZ_Monde</v>
      </c>
      <c r="B1530" t="str">
        <f>T("   ZZZ_Monde")</f>
        <v xml:space="preserve">   ZZZ_Monde</v>
      </c>
      <c r="C1530">
        <v>8000000</v>
      </c>
      <c r="D1530">
        <v>4800</v>
      </c>
    </row>
    <row r="1531" spans="1:4" x14ac:dyDescent="0.25">
      <c r="A1531" t="str">
        <f>T("   GA")</f>
        <v xml:space="preserve">   GA</v>
      </c>
      <c r="B1531" t="str">
        <f>T("   Gabon")</f>
        <v xml:space="preserve">   Gabon</v>
      </c>
      <c r="C1531">
        <v>8000000</v>
      </c>
      <c r="D1531">
        <v>4800</v>
      </c>
    </row>
    <row r="1532" spans="1:4" x14ac:dyDescent="0.25">
      <c r="A1532" t="str">
        <f>T("940320")</f>
        <v>940320</v>
      </c>
      <c r="B1532" t="str">
        <f>T("Meubles en métal, sauf meubles de bureau, sièges et mobilier pour la médecine, la chirurgie, l'art dentaire ou vétérinaire")</f>
        <v>Meubles en métal, sauf meubles de bureau, sièges et mobilier pour la médecine, la chirurgie, l'art dentaire ou vétérinaire</v>
      </c>
    </row>
    <row r="1533" spans="1:4" x14ac:dyDescent="0.25">
      <c r="A1533" t="str">
        <f>T("   ZZZ_Monde")</f>
        <v xml:space="preserve">   ZZZ_Monde</v>
      </c>
      <c r="B1533" t="str">
        <f>T("   ZZZ_Monde")</f>
        <v xml:space="preserve">   ZZZ_Monde</v>
      </c>
      <c r="C1533">
        <v>1504570</v>
      </c>
      <c r="D1533">
        <v>2614</v>
      </c>
    </row>
    <row r="1534" spans="1:4" x14ac:dyDescent="0.25">
      <c r="A1534" t="str">
        <f>T("   CG")</f>
        <v xml:space="preserve">   CG</v>
      </c>
      <c r="B1534" t="str">
        <f>T("   Congo (Brazzaville)")</f>
        <v xml:space="preserve">   Congo (Brazzaville)</v>
      </c>
      <c r="C1534">
        <v>450000</v>
      </c>
      <c r="D1534">
        <v>300</v>
      </c>
    </row>
    <row r="1535" spans="1:4" x14ac:dyDescent="0.25">
      <c r="A1535" t="str">
        <f>T("   TG")</f>
        <v xml:space="preserve">   TG</v>
      </c>
      <c r="B1535" t="str">
        <f>T("   Togo")</f>
        <v xml:space="preserve">   Togo</v>
      </c>
      <c r="C1535">
        <v>1054570</v>
      </c>
      <c r="D1535">
        <v>2314</v>
      </c>
    </row>
    <row r="1536" spans="1:4" x14ac:dyDescent="0.25">
      <c r="A1536" t="str">
        <f>T("940340")</f>
        <v>940340</v>
      </c>
      <c r="B1536" t="str">
        <f>T("Meubles de cuisine, en bois (sauf sièges)")</f>
        <v>Meubles de cuisine, en bois (sauf sièges)</v>
      </c>
    </row>
    <row r="1537" spans="1:4" x14ac:dyDescent="0.25">
      <c r="A1537" t="str">
        <f>T("   ZZZ_Monde")</f>
        <v xml:space="preserve">   ZZZ_Monde</v>
      </c>
      <c r="B1537" t="str">
        <f>T("   ZZZ_Monde")</f>
        <v xml:space="preserve">   ZZZ_Monde</v>
      </c>
      <c r="C1537">
        <v>250000</v>
      </c>
      <c r="D1537">
        <v>1000</v>
      </c>
    </row>
    <row r="1538" spans="1:4" x14ac:dyDescent="0.25">
      <c r="A1538" t="str">
        <f>T("   SN")</f>
        <v xml:space="preserve">   SN</v>
      </c>
      <c r="B1538" t="str">
        <f>T("   Sénégal")</f>
        <v xml:space="preserve">   Sénégal</v>
      </c>
      <c r="C1538">
        <v>250000</v>
      </c>
      <c r="D1538">
        <v>1000</v>
      </c>
    </row>
    <row r="1539" spans="1:4" x14ac:dyDescent="0.25">
      <c r="A1539" t="str">
        <f>T("940350")</f>
        <v>940350</v>
      </c>
      <c r="B1539" t="str">
        <f>T("Meubles pour chambres à coucher, en bois (sauf sièges)")</f>
        <v>Meubles pour chambres à coucher, en bois (sauf sièges)</v>
      </c>
    </row>
    <row r="1540" spans="1:4" x14ac:dyDescent="0.25">
      <c r="A1540" t="str">
        <f>T("   ZZZ_Monde")</f>
        <v xml:space="preserve">   ZZZ_Monde</v>
      </c>
      <c r="B1540" t="str">
        <f>T("   ZZZ_Monde")</f>
        <v xml:space="preserve">   ZZZ_Monde</v>
      </c>
      <c r="C1540">
        <v>94208600</v>
      </c>
      <c r="D1540">
        <v>93835</v>
      </c>
    </row>
    <row r="1541" spans="1:4" x14ac:dyDescent="0.25">
      <c r="A1541" t="str">
        <f>T("   BE")</f>
        <v xml:space="preserve">   BE</v>
      </c>
      <c r="B1541" t="str">
        <f>T("   Belgique")</f>
        <v xml:space="preserve">   Belgique</v>
      </c>
      <c r="C1541">
        <v>6850000</v>
      </c>
      <c r="D1541">
        <v>12400</v>
      </c>
    </row>
    <row r="1542" spans="1:4" x14ac:dyDescent="0.25">
      <c r="A1542" t="str">
        <f>T("   BF")</f>
        <v xml:space="preserve">   BF</v>
      </c>
      <c r="B1542" t="str">
        <f>T("   Burkina Faso")</f>
        <v xml:space="preserve">   Burkina Faso</v>
      </c>
      <c r="C1542">
        <v>500000</v>
      </c>
      <c r="D1542">
        <v>450</v>
      </c>
    </row>
    <row r="1543" spans="1:4" x14ac:dyDescent="0.25">
      <c r="A1543" t="str">
        <f>T("   BI")</f>
        <v xml:space="preserve">   BI</v>
      </c>
      <c r="B1543" t="str">
        <f>T("   Burundi")</f>
        <v xml:space="preserve">   Burundi</v>
      </c>
      <c r="C1543">
        <v>2300000</v>
      </c>
      <c r="D1543">
        <v>1700</v>
      </c>
    </row>
    <row r="1544" spans="1:4" x14ac:dyDescent="0.25">
      <c r="A1544" t="str">
        <f>T("   CA")</f>
        <v xml:space="preserve">   CA</v>
      </c>
      <c r="B1544" t="str">
        <f>T("   Canada")</f>
        <v xml:space="preserve">   Canada</v>
      </c>
      <c r="C1544">
        <v>1000000</v>
      </c>
      <c r="D1544">
        <v>1200</v>
      </c>
    </row>
    <row r="1545" spans="1:4" x14ac:dyDescent="0.25">
      <c r="A1545" t="str">
        <f>T("   CD")</f>
        <v xml:space="preserve">   CD</v>
      </c>
      <c r="B1545" t="str">
        <f>T("   Congo, République Démocratique")</f>
        <v xml:space="preserve">   Congo, République Démocratique</v>
      </c>
      <c r="C1545">
        <v>600000</v>
      </c>
      <c r="D1545">
        <v>805</v>
      </c>
    </row>
    <row r="1546" spans="1:4" x14ac:dyDescent="0.25">
      <c r="A1546" t="str">
        <f>T("   CL")</f>
        <v xml:space="preserve">   CL</v>
      </c>
      <c r="B1546" t="str">
        <f>T("   Chili")</f>
        <v xml:space="preserve">   Chili</v>
      </c>
      <c r="C1546">
        <v>1200000</v>
      </c>
      <c r="D1546">
        <v>1600</v>
      </c>
    </row>
    <row r="1547" spans="1:4" x14ac:dyDescent="0.25">
      <c r="A1547" t="str">
        <f>T("   CM")</f>
        <v xml:space="preserve">   CM</v>
      </c>
      <c r="B1547" t="str">
        <f>T("   Cameroun")</f>
        <v xml:space="preserve">   Cameroun</v>
      </c>
      <c r="C1547">
        <v>2800000</v>
      </c>
      <c r="D1547">
        <v>4300</v>
      </c>
    </row>
    <row r="1548" spans="1:4" x14ac:dyDescent="0.25">
      <c r="A1548" t="str">
        <f>T("   DE")</f>
        <v xml:space="preserve">   DE</v>
      </c>
      <c r="B1548" t="str">
        <f>T("   Allemagne")</f>
        <v xml:space="preserve">   Allemagne</v>
      </c>
      <c r="C1548">
        <v>4100000</v>
      </c>
      <c r="D1548">
        <v>5200</v>
      </c>
    </row>
    <row r="1549" spans="1:4" x14ac:dyDescent="0.25">
      <c r="A1549" t="str">
        <f>T("   DZ")</f>
        <v xml:space="preserve">   DZ</v>
      </c>
      <c r="B1549" t="str">
        <f>T("   Algérie")</f>
        <v xml:space="preserve">   Algérie</v>
      </c>
      <c r="C1549">
        <v>700000</v>
      </c>
      <c r="D1549">
        <v>800</v>
      </c>
    </row>
    <row r="1550" spans="1:4" x14ac:dyDescent="0.25">
      <c r="A1550" t="str">
        <f>T("   FR")</f>
        <v xml:space="preserve">   FR</v>
      </c>
      <c r="B1550" t="str">
        <f>T("   France")</f>
        <v xml:space="preserve">   France</v>
      </c>
      <c r="C1550">
        <v>53208600</v>
      </c>
      <c r="D1550">
        <v>36650</v>
      </c>
    </row>
    <row r="1551" spans="1:4" x14ac:dyDescent="0.25">
      <c r="A1551" t="str">
        <f>T("   GA")</f>
        <v xml:space="preserve">   GA</v>
      </c>
      <c r="B1551" t="str">
        <f>T("   Gabon")</f>
        <v xml:space="preserve">   Gabon</v>
      </c>
      <c r="C1551">
        <v>1400000</v>
      </c>
      <c r="D1551">
        <v>2200</v>
      </c>
    </row>
    <row r="1552" spans="1:4" x14ac:dyDescent="0.25">
      <c r="A1552" t="str">
        <f>T("   GN")</f>
        <v xml:space="preserve">   GN</v>
      </c>
      <c r="B1552" t="str">
        <f>T("   Guinée")</f>
        <v xml:space="preserve">   Guinée</v>
      </c>
      <c r="C1552">
        <v>1200000</v>
      </c>
      <c r="D1552">
        <v>2500</v>
      </c>
    </row>
    <row r="1553" spans="1:4" x14ac:dyDescent="0.25">
      <c r="A1553" t="str">
        <f>T("   GP")</f>
        <v xml:space="preserve">   GP</v>
      </c>
      <c r="B1553" t="str">
        <f>T("   Guadeloupe")</f>
        <v xml:space="preserve">   Guadeloupe</v>
      </c>
      <c r="C1553">
        <v>1300000</v>
      </c>
      <c r="D1553">
        <v>2600</v>
      </c>
    </row>
    <row r="1554" spans="1:4" x14ac:dyDescent="0.25">
      <c r="A1554" t="str">
        <f>T("   LR")</f>
        <v xml:space="preserve">   LR</v>
      </c>
      <c r="B1554" t="str">
        <f>T("   Libéria")</f>
        <v xml:space="preserve">   Libéria</v>
      </c>
      <c r="C1554">
        <v>1000000</v>
      </c>
      <c r="D1554">
        <v>1500</v>
      </c>
    </row>
    <row r="1555" spans="1:4" x14ac:dyDescent="0.25">
      <c r="A1555" t="str">
        <f>T("   MA")</f>
        <v xml:space="preserve">   MA</v>
      </c>
      <c r="B1555" t="str">
        <f>T("   Maroc")</f>
        <v xml:space="preserve">   Maroc</v>
      </c>
      <c r="C1555">
        <v>2100000</v>
      </c>
      <c r="D1555">
        <v>2700</v>
      </c>
    </row>
    <row r="1556" spans="1:4" x14ac:dyDescent="0.25">
      <c r="A1556" t="str">
        <f>T("   ML")</f>
        <v xml:space="preserve">   ML</v>
      </c>
      <c r="B1556" t="str">
        <f>T("   Mali")</f>
        <v xml:space="preserve">   Mali</v>
      </c>
      <c r="C1556">
        <v>600000</v>
      </c>
      <c r="D1556">
        <v>700</v>
      </c>
    </row>
    <row r="1557" spans="1:4" x14ac:dyDescent="0.25">
      <c r="A1557" t="str">
        <f>T("   MQ")</f>
        <v xml:space="preserve">   MQ</v>
      </c>
      <c r="B1557" t="str">
        <f>T("   Martinique")</f>
        <v xml:space="preserve">   Martinique</v>
      </c>
      <c r="C1557">
        <v>750000</v>
      </c>
      <c r="D1557">
        <v>1000</v>
      </c>
    </row>
    <row r="1558" spans="1:4" x14ac:dyDescent="0.25">
      <c r="A1558" t="str">
        <f>T("   NE")</f>
        <v xml:space="preserve">   NE</v>
      </c>
      <c r="B1558" t="str">
        <f>T("   Niger")</f>
        <v xml:space="preserve">   Niger</v>
      </c>
      <c r="C1558">
        <v>1900000</v>
      </c>
      <c r="D1558">
        <v>3200</v>
      </c>
    </row>
    <row r="1559" spans="1:4" x14ac:dyDescent="0.25">
      <c r="A1559" t="str">
        <f>T("   NL")</f>
        <v xml:space="preserve">   NL</v>
      </c>
      <c r="B1559" t="str">
        <f>T("   Pays-bas")</f>
        <v xml:space="preserve">   Pays-bas</v>
      </c>
      <c r="C1559">
        <v>900000</v>
      </c>
      <c r="D1559">
        <v>1000</v>
      </c>
    </row>
    <row r="1560" spans="1:4" x14ac:dyDescent="0.25">
      <c r="A1560" t="str">
        <f>T("   RW")</f>
        <v xml:space="preserve">   RW</v>
      </c>
      <c r="B1560" t="str">
        <f>T("   Rwanda")</f>
        <v xml:space="preserve">   Rwanda</v>
      </c>
      <c r="C1560">
        <v>1500000</v>
      </c>
      <c r="D1560">
        <v>2800</v>
      </c>
    </row>
    <row r="1561" spans="1:4" x14ac:dyDescent="0.25">
      <c r="A1561" t="str">
        <f>T("   SN")</f>
        <v xml:space="preserve">   SN</v>
      </c>
      <c r="B1561" t="str">
        <f>T("   Sénégal")</f>
        <v xml:space="preserve">   Sénégal</v>
      </c>
      <c r="C1561">
        <v>1500000</v>
      </c>
      <c r="D1561">
        <v>880</v>
      </c>
    </row>
    <row r="1562" spans="1:4" x14ac:dyDescent="0.25">
      <c r="A1562" t="str">
        <f>T("   TD")</f>
        <v xml:space="preserve">   TD</v>
      </c>
      <c r="B1562" t="str">
        <f>T("   Tchad")</f>
        <v xml:space="preserve">   Tchad</v>
      </c>
      <c r="C1562">
        <v>1800000</v>
      </c>
      <c r="D1562">
        <v>3800</v>
      </c>
    </row>
    <row r="1563" spans="1:4" x14ac:dyDescent="0.25">
      <c r="A1563" t="str">
        <f>T("   TZ")</f>
        <v xml:space="preserve">   TZ</v>
      </c>
      <c r="B1563" t="str">
        <f>T("   Tanzanie")</f>
        <v xml:space="preserve">   Tanzanie</v>
      </c>
      <c r="C1563">
        <v>1400000</v>
      </c>
      <c r="D1563">
        <v>1150</v>
      </c>
    </row>
    <row r="1564" spans="1:4" x14ac:dyDescent="0.25">
      <c r="A1564" t="str">
        <f>T("   UG")</f>
        <v xml:space="preserve">   UG</v>
      </c>
      <c r="B1564" t="str">
        <f>T("   Ouganda")</f>
        <v xml:space="preserve">   Ouganda</v>
      </c>
      <c r="C1564">
        <v>800000</v>
      </c>
      <c r="D1564">
        <v>700</v>
      </c>
    </row>
    <row r="1565" spans="1:4" x14ac:dyDescent="0.25">
      <c r="A1565" t="str">
        <f>T("   US")</f>
        <v xml:space="preserve">   US</v>
      </c>
      <c r="B1565" t="str">
        <f>T("   Etats-Unis")</f>
        <v xml:space="preserve">   Etats-Unis</v>
      </c>
      <c r="C1565">
        <v>2100000</v>
      </c>
      <c r="D1565">
        <v>1500</v>
      </c>
    </row>
    <row r="1566" spans="1:4" x14ac:dyDescent="0.25">
      <c r="A1566" t="str">
        <f>T("   ZA")</f>
        <v xml:space="preserve">   ZA</v>
      </c>
      <c r="B1566" t="str">
        <f>T("   Afrique du Sud")</f>
        <v xml:space="preserve">   Afrique du Sud</v>
      </c>
      <c r="C1566">
        <v>700000</v>
      </c>
      <c r="D1566">
        <v>500</v>
      </c>
    </row>
    <row r="1567" spans="1:4" x14ac:dyDescent="0.25">
      <c r="A1567" t="str">
        <f>T("940360")</f>
        <v>940360</v>
      </c>
      <c r="B1567" t="str">
        <f>T("Meubles en bois (autres que pour bureaux, cuisines ou chambres à coucher et autres que sièges)")</f>
        <v>Meubles en bois (autres que pour bureaux, cuisines ou chambres à coucher et autres que sièges)</v>
      </c>
    </row>
    <row r="1568" spans="1:4" x14ac:dyDescent="0.25">
      <c r="A1568" t="str">
        <f>T("   ZZZ_Monde")</f>
        <v xml:space="preserve">   ZZZ_Monde</v>
      </c>
      <c r="B1568" t="str">
        <f>T("   ZZZ_Monde")</f>
        <v xml:space="preserve">   ZZZ_Monde</v>
      </c>
      <c r="C1568">
        <v>119850198</v>
      </c>
      <c r="D1568">
        <v>67883</v>
      </c>
    </row>
    <row r="1569" spans="1:4" x14ac:dyDescent="0.25">
      <c r="A1569" t="str">
        <f>T("   BE")</f>
        <v xml:space="preserve">   BE</v>
      </c>
      <c r="B1569" t="str">
        <f>T("   Belgique")</f>
        <v xml:space="preserve">   Belgique</v>
      </c>
      <c r="C1569">
        <v>2150000</v>
      </c>
      <c r="D1569">
        <v>3000</v>
      </c>
    </row>
    <row r="1570" spans="1:4" x14ac:dyDescent="0.25">
      <c r="A1570" t="str">
        <f>T("   BF")</f>
        <v xml:space="preserve">   BF</v>
      </c>
      <c r="B1570" t="str">
        <f>T("   Burkina Faso")</f>
        <v xml:space="preserve">   Burkina Faso</v>
      </c>
      <c r="C1570">
        <v>780000</v>
      </c>
      <c r="D1570">
        <v>500</v>
      </c>
    </row>
    <row r="1571" spans="1:4" x14ac:dyDescent="0.25">
      <c r="A1571" t="str">
        <f>T("   CD")</f>
        <v xml:space="preserve">   CD</v>
      </c>
      <c r="B1571" t="str">
        <f>T("   Congo, République Démocratique")</f>
        <v xml:space="preserve">   Congo, République Démocratique</v>
      </c>
      <c r="C1571">
        <v>2850000</v>
      </c>
      <c r="D1571">
        <v>1850</v>
      </c>
    </row>
    <row r="1572" spans="1:4" x14ac:dyDescent="0.25">
      <c r="A1572" t="str">
        <f>T("   CG")</f>
        <v xml:space="preserve">   CG</v>
      </c>
      <c r="B1572" t="str">
        <f>T("   Congo (Brazzaville)")</f>
        <v xml:space="preserve">   Congo (Brazzaville)</v>
      </c>
      <c r="C1572">
        <v>1785000</v>
      </c>
      <c r="D1572">
        <v>2000</v>
      </c>
    </row>
    <row r="1573" spans="1:4" x14ac:dyDescent="0.25">
      <c r="A1573" t="str">
        <f>T("   CI")</f>
        <v xml:space="preserve">   CI</v>
      </c>
      <c r="B1573" t="str">
        <f>T("   Côte d'Ivoire")</f>
        <v xml:space="preserve">   Côte d'Ivoire</v>
      </c>
      <c r="C1573">
        <v>1301000</v>
      </c>
      <c r="D1573">
        <v>3400</v>
      </c>
    </row>
    <row r="1574" spans="1:4" x14ac:dyDescent="0.25">
      <c r="A1574" t="str">
        <f>T("   CM")</f>
        <v xml:space="preserve">   CM</v>
      </c>
      <c r="B1574" t="str">
        <f>T("   Cameroun")</f>
        <v xml:space="preserve">   Cameroun</v>
      </c>
      <c r="C1574">
        <v>1500000</v>
      </c>
      <c r="D1574">
        <v>1500</v>
      </c>
    </row>
    <row r="1575" spans="1:4" x14ac:dyDescent="0.25">
      <c r="A1575" t="str">
        <f>T("   FR")</f>
        <v xml:space="preserve">   FR</v>
      </c>
      <c r="B1575" t="str">
        <f>T("   France")</f>
        <v xml:space="preserve">   France</v>
      </c>
      <c r="C1575">
        <v>35200000</v>
      </c>
      <c r="D1575">
        <v>32380</v>
      </c>
    </row>
    <row r="1576" spans="1:4" x14ac:dyDescent="0.25">
      <c r="A1576" t="str">
        <f>T("   GP")</f>
        <v xml:space="preserve">   GP</v>
      </c>
      <c r="B1576" t="str">
        <f>T("   Guadeloupe")</f>
        <v xml:space="preserve">   Guadeloupe</v>
      </c>
      <c r="C1576">
        <v>2400000</v>
      </c>
      <c r="D1576">
        <v>2450</v>
      </c>
    </row>
    <row r="1577" spans="1:4" x14ac:dyDescent="0.25">
      <c r="A1577" t="str">
        <f>T("   IL")</f>
        <v xml:space="preserve">   IL</v>
      </c>
      <c r="B1577" t="str">
        <f>T("   Israël")</f>
        <v xml:space="preserve">   Israël</v>
      </c>
      <c r="C1577">
        <v>1650000</v>
      </c>
      <c r="D1577">
        <v>1600</v>
      </c>
    </row>
    <row r="1578" spans="1:4" x14ac:dyDescent="0.25">
      <c r="A1578" t="str">
        <f>T("   MA")</f>
        <v xml:space="preserve">   MA</v>
      </c>
      <c r="B1578" t="str">
        <f>T("   Maroc")</f>
        <v xml:space="preserve">   Maroc</v>
      </c>
      <c r="C1578">
        <v>1600000</v>
      </c>
      <c r="D1578">
        <v>9435</v>
      </c>
    </row>
    <row r="1579" spans="1:4" x14ac:dyDescent="0.25">
      <c r="A1579" t="str">
        <f>T("   NE")</f>
        <v xml:space="preserve">   NE</v>
      </c>
      <c r="B1579" t="str">
        <f>T("   Niger")</f>
        <v xml:space="preserve">   Niger</v>
      </c>
      <c r="C1579">
        <v>2632000</v>
      </c>
      <c r="D1579">
        <v>1200</v>
      </c>
    </row>
    <row r="1580" spans="1:4" x14ac:dyDescent="0.25">
      <c r="A1580" t="str">
        <f>T("   UG")</f>
        <v xml:space="preserve">   UG</v>
      </c>
      <c r="B1580" t="str">
        <f>T("   Ouganda")</f>
        <v xml:space="preserve">   Ouganda</v>
      </c>
      <c r="C1580">
        <v>500000</v>
      </c>
      <c r="D1580">
        <v>1000</v>
      </c>
    </row>
    <row r="1581" spans="1:4" x14ac:dyDescent="0.25">
      <c r="A1581" t="str">
        <f>T("   US")</f>
        <v xml:space="preserve">   US</v>
      </c>
      <c r="B1581" t="str">
        <f>T("   Etats-Unis")</f>
        <v xml:space="preserve">   Etats-Unis</v>
      </c>
      <c r="C1581">
        <v>65502198</v>
      </c>
      <c r="D1581">
        <v>7568</v>
      </c>
    </row>
    <row r="1582" spans="1:4" x14ac:dyDescent="0.25">
      <c r="A1582" t="str">
        <f>T("940380")</f>
        <v>940380</v>
      </c>
      <c r="B1582" t="str">
        <f>T("Meubles en rotin, osier, bambou ou autres matières (sauf métal, bois et matières plastiques)")</f>
        <v>Meubles en rotin, osier, bambou ou autres matières (sauf métal, bois et matières plastiques)</v>
      </c>
    </row>
    <row r="1583" spans="1:4" x14ac:dyDescent="0.25">
      <c r="A1583" t="str">
        <f>T("   ZZZ_Monde")</f>
        <v xml:space="preserve">   ZZZ_Monde</v>
      </c>
      <c r="B1583" t="str">
        <f>T("   ZZZ_Monde")</f>
        <v xml:space="preserve">   ZZZ_Monde</v>
      </c>
      <c r="C1583">
        <v>34594252</v>
      </c>
      <c r="D1583">
        <v>141210.12</v>
      </c>
    </row>
    <row r="1584" spans="1:4" x14ac:dyDescent="0.25">
      <c r="A1584" t="str">
        <f>T("   BF")</f>
        <v xml:space="preserve">   BF</v>
      </c>
      <c r="B1584" t="str">
        <f>T("   Burkina Faso")</f>
        <v xml:space="preserve">   Burkina Faso</v>
      </c>
      <c r="C1584">
        <v>400000</v>
      </c>
      <c r="D1584">
        <v>10000</v>
      </c>
    </row>
    <row r="1585" spans="1:4" x14ac:dyDescent="0.25">
      <c r="A1585" t="str">
        <f>T("   BI")</f>
        <v xml:space="preserve">   BI</v>
      </c>
      <c r="B1585" t="str">
        <f>T("   Burundi")</f>
        <v xml:space="preserve">   Burundi</v>
      </c>
      <c r="C1585">
        <v>9386652</v>
      </c>
      <c r="D1585">
        <v>11810</v>
      </c>
    </row>
    <row r="1586" spans="1:4" x14ac:dyDescent="0.25">
      <c r="A1586" t="str">
        <f>T("   CG")</f>
        <v xml:space="preserve">   CG</v>
      </c>
      <c r="B1586" t="str">
        <f>T("   Congo (Brazzaville)")</f>
        <v xml:space="preserve">   Congo (Brazzaville)</v>
      </c>
      <c r="C1586">
        <v>1400000</v>
      </c>
      <c r="D1586">
        <v>400</v>
      </c>
    </row>
    <row r="1587" spans="1:4" x14ac:dyDescent="0.25">
      <c r="A1587" t="str">
        <f>T("   CI")</f>
        <v xml:space="preserve">   CI</v>
      </c>
      <c r="B1587" t="str">
        <f>T("   Côte d'Ivoire")</f>
        <v xml:space="preserve">   Côte d'Ivoire</v>
      </c>
      <c r="C1587">
        <v>2100000</v>
      </c>
      <c r="D1587">
        <v>35000</v>
      </c>
    </row>
    <row r="1588" spans="1:4" x14ac:dyDescent="0.25">
      <c r="A1588" t="str">
        <f>T("   CM")</f>
        <v xml:space="preserve">   CM</v>
      </c>
      <c r="B1588" t="str">
        <f>T("   Cameroun")</f>
        <v xml:space="preserve">   Cameroun</v>
      </c>
      <c r="C1588">
        <v>5250000</v>
      </c>
      <c r="D1588">
        <v>15150</v>
      </c>
    </row>
    <row r="1589" spans="1:4" x14ac:dyDescent="0.25">
      <c r="A1589" t="str">
        <f>T("   DJ")</f>
        <v xml:space="preserve">   DJ</v>
      </c>
      <c r="B1589" t="str">
        <f>T("   Djibouti")</f>
        <v xml:space="preserve">   Djibouti</v>
      </c>
      <c r="C1589">
        <v>400000</v>
      </c>
      <c r="D1589">
        <v>10000</v>
      </c>
    </row>
    <row r="1590" spans="1:4" x14ac:dyDescent="0.25">
      <c r="A1590" t="str">
        <f>T("   FR")</f>
        <v xml:space="preserve">   FR</v>
      </c>
      <c r="B1590" t="str">
        <f>T("   France")</f>
        <v xml:space="preserve">   France</v>
      </c>
      <c r="C1590">
        <v>800000</v>
      </c>
      <c r="D1590">
        <v>20000</v>
      </c>
    </row>
    <row r="1591" spans="1:4" x14ac:dyDescent="0.25">
      <c r="A1591" t="str">
        <f>T("   GA")</f>
        <v xml:space="preserve">   GA</v>
      </c>
      <c r="B1591" t="str">
        <f>T("   Gabon")</f>
        <v xml:space="preserve">   Gabon</v>
      </c>
      <c r="C1591">
        <v>300000</v>
      </c>
      <c r="D1591">
        <v>210.12</v>
      </c>
    </row>
    <row r="1592" spans="1:4" x14ac:dyDescent="0.25">
      <c r="A1592" t="str">
        <f>T("   GQ")</f>
        <v xml:space="preserve">   GQ</v>
      </c>
      <c r="B1592" t="str">
        <f>T("   Guinée Equatoriale")</f>
        <v xml:space="preserve">   Guinée Equatoriale</v>
      </c>
      <c r="C1592">
        <v>8337600</v>
      </c>
      <c r="D1592">
        <v>640</v>
      </c>
    </row>
    <row r="1593" spans="1:4" x14ac:dyDescent="0.25">
      <c r="A1593" t="str">
        <f>T("   MZ")</f>
        <v xml:space="preserve">   MZ</v>
      </c>
      <c r="B1593" t="str">
        <f>T("   Mozambique")</f>
        <v xml:space="preserve">   Mozambique</v>
      </c>
      <c r="C1593">
        <v>400000</v>
      </c>
      <c r="D1593">
        <v>10000</v>
      </c>
    </row>
    <row r="1594" spans="1:4" x14ac:dyDescent="0.25">
      <c r="A1594" t="str">
        <f>T("   NE")</f>
        <v xml:space="preserve">   NE</v>
      </c>
      <c r="B1594" t="str">
        <f>T("   Niger")</f>
        <v xml:space="preserve">   Niger</v>
      </c>
      <c r="C1594">
        <v>2520000</v>
      </c>
      <c r="D1594">
        <v>1500</v>
      </c>
    </row>
    <row r="1595" spans="1:4" x14ac:dyDescent="0.25">
      <c r="A1595" t="str">
        <f>T("   UG")</f>
        <v xml:space="preserve">   UG</v>
      </c>
      <c r="B1595" t="str">
        <f>T("   Ouganda")</f>
        <v xml:space="preserve">   Ouganda</v>
      </c>
      <c r="C1595">
        <v>600000</v>
      </c>
      <c r="D1595">
        <v>10000</v>
      </c>
    </row>
    <row r="1596" spans="1:4" x14ac:dyDescent="0.25">
      <c r="A1596" t="str">
        <f>T("   US")</f>
        <v xml:space="preserve">   US</v>
      </c>
      <c r="B1596" t="str">
        <f>T("   Etats-Unis")</f>
        <v xml:space="preserve">   Etats-Unis</v>
      </c>
      <c r="C1596">
        <v>2700000</v>
      </c>
      <c r="D1596">
        <v>16500</v>
      </c>
    </row>
    <row r="1597" spans="1:4" x14ac:dyDescent="0.25">
      <c r="A1597" t="str">
        <f>T("940591")</f>
        <v>940591</v>
      </c>
      <c r="B1597" t="str">
        <f>T("Parties en verres d'appareils d'éclairage, de lampes-réclames, d'enseignes lumineuses, de plaques indicatrices lumineuses, et simil., n.d.a.")</f>
        <v>Parties en verres d'appareils d'éclairage, de lampes-réclames, d'enseignes lumineuses, de plaques indicatrices lumineuses, et simil., n.d.a.</v>
      </c>
    </row>
    <row r="1598" spans="1:4" x14ac:dyDescent="0.25">
      <c r="A1598" t="str">
        <f>T("   ZZZ_Monde")</f>
        <v xml:space="preserve">   ZZZ_Monde</v>
      </c>
      <c r="B1598" t="str">
        <f>T("   ZZZ_Monde")</f>
        <v xml:space="preserve">   ZZZ_Monde</v>
      </c>
      <c r="C1598">
        <v>1973520</v>
      </c>
      <c r="D1598">
        <v>1874</v>
      </c>
    </row>
    <row r="1599" spans="1:4" x14ac:dyDescent="0.25">
      <c r="A1599" t="str">
        <f>T("   NE")</f>
        <v xml:space="preserve">   NE</v>
      </c>
      <c r="B1599" t="str">
        <f>T("   Niger")</f>
        <v xml:space="preserve">   Niger</v>
      </c>
      <c r="C1599">
        <v>1973520</v>
      </c>
      <c r="D1599">
        <v>1874</v>
      </c>
    </row>
    <row r="1600" spans="1:4" x14ac:dyDescent="0.25">
      <c r="A1600" t="str">
        <f>T("950299")</f>
        <v>950299</v>
      </c>
      <c r="B1600" t="str">
        <f>T("Parties et accessoires pour poupées représentant uniquement l'être humain, n.d.a.")</f>
        <v>Parties et accessoires pour poupées représentant uniquement l'être humain, n.d.a.</v>
      </c>
    </row>
    <row r="1601" spans="1:4" x14ac:dyDescent="0.25">
      <c r="A1601" t="str">
        <f>T("   ZZZ_Monde")</f>
        <v xml:space="preserve">   ZZZ_Monde</v>
      </c>
      <c r="B1601" t="str">
        <f>T("   ZZZ_Monde")</f>
        <v xml:space="preserve">   ZZZ_Monde</v>
      </c>
      <c r="C1601">
        <v>1200000</v>
      </c>
      <c r="D1601">
        <v>1887</v>
      </c>
    </row>
    <row r="1602" spans="1:4" x14ac:dyDescent="0.25">
      <c r="A1602" t="str">
        <f>T("   CD")</f>
        <v xml:space="preserve">   CD</v>
      </c>
      <c r="B1602" t="str">
        <f>T("   Congo, République Démocratique")</f>
        <v xml:space="preserve">   Congo, République Démocratique</v>
      </c>
      <c r="C1602">
        <v>200000</v>
      </c>
      <c r="D1602">
        <v>265</v>
      </c>
    </row>
    <row r="1603" spans="1:4" x14ac:dyDescent="0.25">
      <c r="A1603" t="str">
        <f>T("   CL")</f>
        <v xml:space="preserve">   CL</v>
      </c>
      <c r="B1603" t="str">
        <f>T("   Chili")</f>
        <v xml:space="preserve">   Chili</v>
      </c>
      <c r="C1603">
        <v>150000</v>
      </c>
      <c r="D1603">
        <v>300</v>
      </c>
    </row>
    <row r="1604" spans="1:4" x14ac:dyDescent="0.25">
      <c r="A1604" t="str">
        <f>T("   FR")</f>
        <v xml:space="preserve">   FR</v>
      </c>
      <c r="B1604" t="str">
        <f>T("   France")</f>
        <v xml:space="preserve">   France</v>
      </c>
      <c r="C1604">
        <v>100000</v>
      </c>
      <c r="D1604">
        <v>100</v>
      </c>
    </row>
    <row r="1605" spans="1:4" x14ac:dyDescent="0.25">
      <c r="A1605" t="str">
        <f>T("   MA")</f>
        <v xml:space="preserve">   MA</v>
      </c>
      <c r="B1605" t="str">
        <f>T("   Maroc")</f>
        <v xml:space="preserve">   Maroc</v>
      </c>
      <c r="C1605">
        <v>250000</v>
      </c>
      <c r="D1605">
        <v>450</v>
      </c>
    </row>
    <row r="1606" spans="1:4" x14ac:dyDescent="0.25">
      <c r="A1606" t="str">
        <f>T("   RW")</f>
        <v xml:space="preserve">   RW</v>
      </c>
      <c r="B1606" t="str">
        <f>T("   Rwanda")</f>
        <v xml:space="preserve">   Rwanda</v>
      </c>
      <c r="C1606">
        <v>200000</v>
      </c>
      <c r="D1606">
        <v>100</v>
      </c>
    </row>
    <row r="1607" spans="1:4" x14ac:dyDescent="0.25">
      <c r="A1607" t="str">
        <f>T("   TZ")</f>
        <v xml:space="preserve">   TZ</v>
      </c>
      <c r="B1607" t="str">
        <f>T("   Tanzanie")</f>
        <v xml:space="preserve">   Tanzanie</v>
      </c>
      <c r="C1607">
        <v>100000</v>
      </c>
      <c r="D1607">
        <v>300</v>
      </c>
    </row>
    <row r="1608" spans="1:4" x14ac:dyDescent="0.25">
      <c r="A1608" t="str">
        <f>T("   US")</f>
        <v xml:space="preserve">   US</v>
      </c>
      <c r="B1608" t="str">
        <f>T("   Etats-Unis")</f>
        <v xml:space="preserve">   Etats-Unis</v>
      </c>
      <c r="C1608">
        <v>200000</v>
      </c>
      <c r="D1608">
        <v>372</v>
      </c>
    </row>
    <row r="1609" spans="1:4" x14ac:dyDescent="0.25">
      <c r="A1609" t="str">
        <f>T("950490")</f>
        <v>950490</v>
      </c>
      <c r="B1609" t="str">
        <f>T("Tables spéciales pour jeux de casino, jeux de quilles automatiques [p.ex. bowlings] et autres jeux de société, y.c. les jeux à moteur ou à mouvement (sauf jeux fonctionnant par l'introduction d'une pièce de monnaie, d'un billet de banque, d'un jeton ou d'")</f>
        <v>Tables spéciales pour jeux de casino, jeux de quilles automatiques [p.ex. bowlings] et autres jeux de société, y.c. les jeux à moteur ou à mouvement (sauf jeux fonctionnant par l'introduction d'une pièce de monnaie, d'un billet de banque, d'un jeton ou d'</v>
      </c>
    </row>
    <row r="1610" spans="1:4" x14ac:dyDescent="0.25">
      <c r="A1610" t="str">
        <f>T("   ZZZ_Monde")</f>
        <v xml:space="preserve">   ZZZ_Monde</v>
      </c>
      <c r="B1610" t="str">
        <f>T("   ZZZ_Monde")</f>
        <v xml:space="preserve">   ZZZ_Monde</v>
      </c>
      <c r="C1610">
        <v>153495</v>
      </c>
      <c r="D1610">
        <v>14</v>
      </c>
    </row>
    <row r="1611" spans="1:4" x14ac:dyDescent="0.25">
      <c r="A1611" t="str">
        <f>T("   NG")</f>
        <v xml:space="preserve">   NG</v>
      </c>
      <c r="B1611" t="str">
        <f>T("   Nigéria")</f>
        <v xml:space="preserve">   Nigéria</v>
      </c>
      <c r="C1611">
        <v>153495</v>
      </c>
      <c r="D1611">
        <v>14</v>
      </c>
    </row>
    <row r="1612" spans="1:4" x14ac:dyDescent="0.25">
      <c r="A1612" t="str">
        <f>T("950619")</f>
        <v>950619</v>
      </c>
      <c r="B1612" t="str">
        <f>T("MATÉRIEL POUR LA PRATIQUE DU SKI DE NEIGE (À L'EXCL. DES SKIS ET DES FIXATIONS POUR SKIS) [01/01/1988-31/12/1994: MATERIEL POUR LA PRATIQUE DU SKI DE NEIGE, (SAUF SKIS ET FIXATIONS)]")</f>
        <v>MATÉRIEL POUR LA PRATIQUE DU SKI DE NEIGE (À L'EXCL. DES SKIS ET DES FIXATIONS POUR SKIS) [01/01/1988-31/12/1994: MATERIEL POUR LA PRATIQUE DU SKI DE NEIGE, (SAUF SKIS ET FIXATIONS)]</v>
      </c>
    </row>
    <row r="1613" spans="1:4" x14ac:dyDescent="0.25">
      <c r="A1613" t="str">
        <f>T("   ZZZ_Monde")</f>
        <v xml:space="preserve">   ZZZ_Monde</v>
      </c>
      <c r="B1613" t="str">
        <f>T("   ZZZ_Monde")</f>
        <v xml:space="preserve">   ZZZ_Monde</v>
      </c>
      <c r="C1613">
        <v>2300000</v>
      </c>
      <c r="D1613">
        <v>11000</v>
      </c>
    </row>
    <row r="1614" spans="1:4" x14ac:dyDescent="0.25">
      <c r="A1614" t="str">
        <f>T("   US")</f>
        <v xml:space="preserve">   US</v>
      </c>
      <c r="B1614" t="str">
        <f>T("   Etats-Unis")</f>
        <v xml:space="preserve">   Etats-Unis</v>
      </c>
      <c r="C1614">
        <v>2300000</v>
      </c>
      <c r="D1614">
        <v>11000</v>
      </c>
    </row>
    <row r="1615" spans="1:4" x14ac:dyDescent="0.25">
      <c r="A1615" t="str">
        <f>T("960990")</f>
        <v>960990</v>
      </c>
      <c r="B1615" t="str">
        <f>T("Crayons (sauf crayons à gaine), pastels, fusains, craies à écrire ou à dessiner et craies de tailleurs")</f>
        <v>Crayons (sauf crayons à gaine), pastels, fusains, craies à écrire ou à dessiner et craies de tailleurs</v>
      </c>
    </row>
    <row r="1616" spans="1:4" x14ac:dyDescent="0.25">
      <c r="A1616" t="str">
        <f>T("   ZZZ_Monde")</f>
        <v xml:space="preserve">   ZZZ_Monde</v>
      </c>
      <c r="B1616" t="str">
        <f>T("   ZZZ_Monde")</f>
        <v xml:space="preserve">   ZZZ_Monde</v>
      </c>
      <c r="C1616">
        <v>170000</v>
      </c>
      <c r="D1616">
        <v>950</v>
      </c>
    </row>
    <row r="1617" spans="1:4" x14ac:dyDescent="0.25">
      <c r="A1617" t="str">
        <f>T("   GQ")</f>
        <v xml:space="preserve">   GQ</v>
      </c>
      <c r="B1617" t="str">
        <f>T("   Guinée Equatoriale")</f>
        <v xml:space="preserve">   Guinée Equatoriale</v>
      </c>
      <c r="C1617">
        <v>170000</v>
      </c>
      <c r="D1617">
        <v>950</v>
      </c>
    </row>
    <row r="1618" spans="1:4" x14ac:dyDescent="0.25">
      <c r="A1618" t="str">
        <f>T("961620")</f>
        <v>961620</v>
      </c>
      <c r="B1618" t="str">
        <f>T("Houppes et houppettes à poudre ou pour l'application d'autres cosmétiques ou produits de toilette")</f>
        <v>Houppes et houppettes à poudre ou pour l'application d'autres cosmétiques ou produits de toilette</v>
      </c>
    </row>
    <row r="1619" spans="1:4" x14ac:dyDescent="0.25">
      <c r="A1619" t="str">
        <f>T("   ZZZ_Monde")</f>
        <v xml:space="preserve">   ZZZ_Monde</v>
      </c>
      <c r="B1619" t="str">
        <f>T("   ZZZ_Monde")</f>
        <v xml:space="preserve">   ZZZ_Monde</v>
      </c>
      <c r="C1619">
        <v>12725000</v>
      </c>
      <c r="D1619">
        <v>3375</v>
      </c>
    </row>
    <row r="1620" spans="1:4" x14ac:dyDescent="0.25">
      <c r="A1620" t="str">
        <f>T("   AE")</f>
        <v xml:space="preserve">   AE</v>
      </c>
      <c r="B1620" t="str">
        <f>T("   Emirats Arabes Unis")</f>
        <v xml:space="preserve">   Emirats Arabes Unis</v>
      </c>
      <c r="C1620">
        <v>12725000</v>
      </c>
      <c r="D1620">
        <v>3375</v>
      </c>
    </row>
    <row r="1621" spans="1:4" x14ac:dyDescent="0.25">
      <c r="A1621" t="str">
        <f>T("970110")</f>
        <v>970110</v>
      </c>
      <c r="B1621" t="str">
        <f>T("Tableaux, p.ex. peintures à l'huile, aquarelles et pastels, et dessins, faits entièrement à la main (à l'excl. des dessins du n° 4906 et des articles manufacturés décorés à la main)")</f>
        <v>Tableaux, p.ex. peintures à l'huile, aquarelles et pastels, et dessins, faits entièrement à la main (à l'excl. des dessins du n° 4906 et des articles manufacturés décorés à la main)</v>
      </c>
    </row>
    <row r="1622" spans="1:4" x14ac:dyDescent="0.25">
      <c r="A1622" t="str">
        <f>T("   ZZZ_Monde")</f>
        <v xml:space="preserve">   ZZZ_Monde</v>
      </c>
      <c r="B1622" t="str">
        <f>T("   ZZZ_Monde")</f>
        <v xml:space="preserve">   ZZZ_Monde</v>
      </c>
      <c r="C1622">
        <v>450000</v>
      </c>
      <c r="D1622">
        <v>200</v>
      </c>
    </row>
    <row r="1623" spans="1:4" x14ac:dyDescent="0.25">
      <c r="A1623" t="str">
        <f>T("   GQ")</f>
        <v xml:space="preserve">   GQ</v>
      </c>
      <c r="B1623" t="str">
        <f>T("   Guinée Equatoriale")</f>
        <v xml:space="preserve">   Guinée Equatoriale</v>
      </c>
      <c r="C1623">
        <v>450000</v>
      </c>
      <c r="D1623">
        <v>200</v>
      </c>
    </row>
    <row r="1624" spans="1:4" s="1" customFormat="1" x14ac:dyDescent="0.25">
      <c r="A1624" s="1" t="str">
        <f>T("   ZZZ_Monde")</f>
        <v xml:space="preserve">   ZZZ_Monde</v>
      </c>
      <c r="B1624" s="1" t="str">
        <f>T("   ZZZ_Monde")</f>
        <v xml:space="preserve">   ZZZ_Monde</v>
      </c>
      <c r="C1624" s="1">
        <v>144980458312</v>
      </c>
      <c r="D1624" s="1">
        <v>534575113.94</v>
      </c>
    </row>
    <row r="1626" spans="1:4" x14ac:dyDescent="0.25">
      <c r="A1626" t="s">
        <v>31</v>
      </c>
    </row>
  </sheetData>
  <pageMargins left="0.7" right="0.7" top="0.75" bottom="0.75" header="0.3" footer="0.3"/>
</worksheet>
</file>